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5480" windowHeight="11640"/>
  </bookViews>
  <sheets>
    <sheet name="ведомость нач." sheetId="14" r:id="rId1"/>
    <sheet name="2016" sheetId="13" r:id="rId2"/>
    <sheet name="свод" sheetId="15" r:id="rId3"/>
  </sheets>
  <calcPr calcId="124519"/>
</workbook>
</file>

<file path=xl/calcChain.xml><?xml version="1.0" encoding="utf-8"?>
<calcChain xmlns="http://schemas.openxmlformats.org/spreadsheetml/2006/main">
  <c r="H5" i="14"/>
  <c r="G5"/>
  <c r="M5" i="15"/>
  <c r="N5"/>
  <c r="M6"/>
  <c r="N6"/>
  <c r="L5"/>
  <c r="L6"/>
  <c r="K5"/>
  <c r="K6"/>
  <c r="J5"/>
  <c r="J6"/>
  <c r="E5" i="13"/>
  <c r="K23"/>
  <c r="K43"/>
  <c r="K33"/>
  <c r="K32"/>
  <c r="K36"/>
  <c r="K34"/>
  <c r="K35"/>
  <c r="K11"/>
  <c r="K28"/>
  <c r="K21"/>
  <c r="K25"/>
  <c r="K31"/>
  <c r="K37"/>
  <c r="K50"/>
  <c r="K26"/>
  <c r="K22"/>
  <c r="K51"/>
  <c r="K47"/>
  <c r="O28"/>
  <c r="O27"/>
  <c r="O26"/>
  <c r="O25"/>
  <c r="O24"/>
  <c r="O23"/>
  <c r="O22"/>
  <c r="O21"/>
  <c r="O19"/>
  <c r="O18"/>
  <c r="O17"/>
  <c r="O39"/>
  <c r="O38"/>
  <c r="O37"/>
  <c r="O36"/>
  <c r="O35"/>
  <c r="O34"/>
  <c r="O33"/>
  <c r="O32"/>
  <c r="O31"/>
  <c r="O30"/>
  <c r="O29"/>
  <c r="O58"/>
  <c r="O57"/>
  <c r="O56"/>
  <c r="O55"/>
  <c r="O53"/>
  <c r="O50"/>
  <c r="O51"/>
  <c r="O49"/>
  <c r="O48"/>
  <c r="O47"/>
  <c r="O46"/>
  <c r="O45"/>
  <c r="O44"/>
  <c r="O43"/>
  <c r="O42"/>
  <c r="O41"/>
  <c r="T5"/>
  <c r="P5"/>
  <c r="O64"/>
  <c r="M28"/>
  <c r="M24"/>
  <c r="M53"/>
  <c r="M43"/>
  <c r="O52"/>
  <c r="O40"/>
  <c r="Q44"/>
  <c r="Q46"/>
  <c r="Q48"/>
  <c r="Q50"/>
  <c r="Q52"/>
  <c r="Q54"/>
  <c r="Q56"/>
  <c r="Q61"/>
  <c r="Q63"/>
  <c r="Q65"/>
  <c r="Q67"/>
  <c r="Q69"/>
  <c r="Q5"/>
  <c r="O70"/>
  <c r="O69"/>
  <c r="O68"/>
  <c r="O67"/>
  <c r="O66"/>
  <c r="O65"/>
  <c r="O63"/>
  <c r="O62"/>
  <c r="O61"/>
  <c r="O60"/>
  <c r="O20"/>
  <c r="O16"/>
  <c r="O15"/>
  <c r="O14"/>
  <c r="O13"/>
  <c r="O12"/>
  <c r="O11"/>
  <c r="O10"/>
  <c r="O9"/>
  <c r="O8"/>
  <c r="O7"/>
  <c r="O6"/>
  <c r="O5"/>
  <c r="T9"/>
  <c r="T7"/>
  <c r="C74"/>
  <c r="P56"/>
  <c r="P55"/>
  <c r="Q55" s="1"/>
  <c r="P54"/>
  <c r="P53"/>
  <c r="Q53" s="1"/>
  <c r="P52"/>
  <c r="P51"/>
  <c r="Q51" s="1"/>
  <c r="P50"/>
  <c r="P49"/>
  <c r="Q49" s="1"/>
  <c r="P48"/>
  <c r="P47"/>
  <c r="Q47" s="1"/>
  <c r="P46"/>
  <c r="P45"/>
  <c r="Q45" s="1"/>
  <c r="P44"/>
  <c r="P70"/>
  <c r="Q70" s="1"/>
  <c r="P69"/>
  <c r="P68"/>
  <c r="Q68" s="1"/>
  <c r="P67"/>
  <c r="P66"/>
  <c r="Q66" s="1"/>
  <c r="P65"/>
  <c r="P64"/>
  <c r="Q64" s="1"/>
  <c r="P63"/>
  <c r="P62"/>
  <c r="Q62" s="1"/>
  <c r="P61"/>
  <c r="P60"/>
  <c r="Q60" s="1"/>
  <c r="P57"/>
  <c r="Q57" s="1"/>
  <c r="P58"/>
  <c r="Q58" s="1"/>
  <c r="P43"/>
  <c r="Q43" s="1"/>
  <c r="P42"/>
  <c r="Q42" s="1"/>
  <c r="P41"/>
  <c r="P40"/>
  <c r="Q40" s="1"/>
  <c r="P39"/>
  <c r="Q39" s="1"/>
  <c r="P38"/>
  <c r="Q38" s="1"/>
  <c r="P37"/>
  <c r="Q37" s="1"/>
  <c r="P36"/>
  <c r="Q36" s="1"/>
  <c r="P35"/>
  <c r="Q35" s="1"/>
  <c r="P34"/>
  <c r="Q34" s="1"/>
  <c r="P33"/>
  <c r="Q33" s="1"/>
  <c r="P32"/>
  <c r="P31"/>
  <c r="Q31" s="1"/>
  <c r="P30"/>
  <c r="Q30" s="1"/>
  <c r="P29"/>
  <c r="Q29" s="1"/>
  <c r="P28"/>
  <c r="Q28" s="1"/>
  <c r="P27"/>
  <c r="Q27" s="1"/>
  <c r="P26"/>
  <c r="Q26" s="1"/>
  <c r="P25"/>
  <c r="Q25" s="1"/>
  <c r="P24"/>
  <c r="Q24" s="1"/>
  <c r="P23"/>
  <c r="Q23" s="1"/>
  <c r="P22"/>
  <c r="Q22" s="1"/>
  <c r="P21"/>
  <c r="Q21" s="1"/>
  <c r="P20"/>
  <c r="Q20" s="1"/>
  <c r="P19"/>
  <c r="Q19" s="1"/>
  <c r="P18"/>
  <c r="Q18" s="1"/>
  <c r="P17"/>
  <c r="Q17" s="1"/>
  <c r="P16"/>
  <c r="Q16" s="1"/>
  <c r="P15"/>
  <c r="Q15" s="1"/>
  <c r="P14"/>
  <c r="Q14" s="1"/>
  <c r="P13"/>
  <c r="Q13" s="1"/>
  <c r="P12"/>
  <c r="Q12" s="1"/>
  <c r="P11"/>
  <c r="Q11" s="1"/>
  <c r="P10"/>
  <c r="Q10" s="1"/>
  <c r="P9"/>
  <c r="Q9" s="1"/>
  <c r="P8"/>
  <c r="Q8" s="1"/>
  <c r="P7"/>
  <c r="Q7" s="1"/>
  <c r="P6"/>
  <c r="Q6" s="1"/>
  <c r="G70"/>
  <c r="F70"/>
  <c r="E70"/>
  <c r="G69"/>
  <c r="F69"/>
  <c r="E69"/>
  <c r="G68"/>
  <c r="F68"/>
  <c r="E68"/>
  <c r="G67"/>
  <c r="F67"/>
  <c r="E67"/>
  <c r="G66"/>
  <c r="F66"/>
  <c r="E66"/>
  <c r="G65"/>
  <c r="F65"/>
  <c r="E65"/>
  <c r="G64"/>
  <c r="F64"/>
  <c r="E64"/>
  <c r="G63"/>
  <c r="F63"/>
  <c r="E63"/>
  <c r="G62"/>
  <c r="F62"/>
  <c r="E62"/>
  <c r="G61"/>
  <c r="F61"/>
  <c r="E61"/>
  <c r="H62"/>
  <c r="I62" s="1"/>
  <c r="H63"/>
  <c r="I63" s="1"/>
  <c r="H64"/>
  <c r="I64" s="1"/>
  <c r="H65"/>
  <c r="I65" s="1"/>
  <c r="H66"/>
  <c r="I66" s="1"/>
  <c r="H67"/>
  <c r="I67" s="1"/>
  <c r="H68"/>
  <c r="H69"/>
  <c r="I69" s="1"/>
  <c r="H70"/>
  <c r="I70" s="1"/>
  <c r="G60"/>
  <c r="F60"/>
  <c r="E60"/>
  <c r="G58"/>
  <c r="F58"/>
  <c r="E58"/>
  <c r="G57"/>
  <c r="F57"/>
  <c r="E57"/>
  <c r="G56"/>
  <c r="F56"/>
  <c r="E56"/>
  <c r="G55"/>
  <c r="F55"/>
  <c r="E55"/>
  <c r="G54"/>
  <c r="F54"/>
  <c r="E54"/>
  <c r="G53"/>
  <c r="F53"/>
  <c r="E53"/>
  <c r="G52"/>
  <c r="F52"/>
  <c r="E52"/>
  <c r="G51"/>
  <c r="F51"/>
  <c r="E51"/>
  <c r="G50"/>
  <c r="F50"/>
  <c r="E50"/>
  <c r="G49"/>
  <c r="F49"/>
  <c r="E49"/>
  <c r="G48"/>
  <c r="F48"/>
  <c r="E48"/>
  <c r="G47"/>
  <c r="F47"/>
  <c r="E47"/>
  <c r="G46"/>
  <c r="F46"/>
  <c r="E46"/>
  <c r="G45"/>
  <c r="F45"/>
  <c r="E45"/>
  <c r="G44"/>
  <c r="F44"/>
  <c r="E44"/>
  <c r="G43"/>
  <c r="F43"/>
  <c r="E43"/>
  <c r="G42"/>
  <c r="F42"/>
  <c r="E42"/>
  <c r="G41"/>
  <c r="F41"/>
  <c r="E41"/>
  <c r="G40"/>
  <c r="F40"/>
  <c r="E40"/>
  <c r="G39"/>
  <c r="F39"/>
  <c r="E39"/>
  <c r="G38"/>
  <c r="F38"/>
  <c r="E38"/>
  <c r="G37"/>
  <c r="F37"/>
  <c r="E37"/>
  <c r="G36"/>
  <c r="F36"/>
  <c r="E36"/>
  <c r="G35"/>
  <c r="F35"/>
  <c r="E35"/>
  <c r="G34"/>
  <c r="F34"/>
  <c r="E34"/>
  <c r="G33"/>
  <c r="F33"/>
  <c r="E33"/>
  <c r="G32"/>
  <c r="F32"/>
  <c r="E32"/>
  <c r="G31"/>
  <c r="F31"/>
  <c r="E31"/>
  <c r="G30"/>
  <c r="F30"/>
  <c r="E30"/>
  <c r="G29"/>
  <c r="G6" i="15" s="1"/>
  <c r="F29" i="13"/>
  <c r="F6" i="15" s="1"/>
  <c r="E29" i="13"/>
  <c r="E6" i="15" s="1"/>
  <c r="G28" i="13"/>
  <c r="F28"/>
  <c r="E28"/>
  <c r="G27"/>
  <c r="F27"/>
  <c r="E27"/>
  <c r="G26"/>
  <c r="F26"/>
  <c r="E26"/>
  <c r="G25"/>
  <c r="F25"/>
  <c r="E25"/>
  <c r="G24"/>
  <c r="F24"/>
  <c r="E24"/>
  <c r="G23"/>
  <c r="F23"/>
  <c r="E23"/>
  <c r="G22"/>
  <c r="F22"/>
  <c r="E22"/>
  <c r="G21"/>
  <c r="F21"/>
  <c r="E21"/>
  <c r="G20"/>
  <c r="F20"/>
  <c r="E20"/>
  <c r="G19"/>
  <c r="F19"/>
  <c r="E19"/>
  <c r="G18"/>
  <c r="F18"/>
  <c r="E18"/>
  <c r="G17"/>
  <c r="F17"/>
  <c r="E17"/>
  <c r="F16"/>
  <c r="E16"/>
  <c r="G15"/>
  <c r="F15"/>
  <c r="E15"/>
  <c r="G14"/>
  <c r="F14"/>
  <c r="E14"/>
  <c r="G13"/>
  <c r="F13"/>
  <c r="E13"/>
  <c r="G12"/>
  <c r="F12"/>
  <c r="E12"/>
  <c r="G11"/>
  <c r="F11"/>
  <c r="E11"/>
  <c r="G10"/>
  <c r="F10"/>
  <c r="E10"/>
  <c r="G9"/>
  <c r="F9"/>
  <c r="E9"/>
  <c r="G8"/>
  <c r="F8"/>
  <c r="E8"/>
  <c r="G7"/>
  <c r="F7"/>
  <c r="E7"/>
  <c r="H7" s="1"/>
  <c r="I7" s="1"/>
  <c r="H8"/>
  <c r="H9"/>
  <c r="I9" s="1"/>
  <c r="H10"/>
  <c r="H11"/>
  <c r="I11" s="1"/>
  <c r="H12"/>
  <c r="I12" s="1"/>
  <c r="H13"/>
  <c r="I13" s="1"/>
  <c r="H14"/>
  <c r="I14" s="1"/>
  <c r="H15"/>
  <c r="I15" s="1"/>
  <c r="H16"/>
  <c r="H17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H28"/>
  <c r="I28" s="1"/>
  <c r="H29"/>
  <c r="I29" s="1"/>
  <c r="H30"/>
  <c r="I30" s="1"/>
  <c r="H31"/>
  <c r="I31" s="1"/>
  <c r="H32"/>
  <c r="I32" s="1"/>
  <c r="H33"/>
  <c r="I33" s="1"/>
  <c r="H34"/>
  <c r="I34" s="1"/>
  <c r="H35"/>
  <c r="I35" s="1"/>
  <c r="H36"/>
  <c r="I36" s="1"/>
  <c r="H37"/>
  <c r="I37" s="1"/>
  <c r="H38"/>
  <c r="I38" s="1"/>
  <c r="H39"/>
  <c r="I39" s="1"/>
  <c r="H40"/>
  <c r="I40" s="1"/>
  <c r="H41"/>
  <c r="I41" s="1"/>
  <c r="H42"/>
  <c r="I42" s="1"/>
  <c r="H43"/>
  <c r="I43" s="1"/>
  <c r="H44"/>
  <c r="I44" s="1"/>
  <c r="H45"/>
  <c r="I45" s="1"/>
  <c r="H46"/>
  <c r="I46" s="1"/>
  <c r="H47"/>
  <c r="I47" s="1"/>
  <c r="H48"/>
  <c r="I48" s="1"/>
  <c r="H49"/>
  <c r="I49" s="1"/>
  <c r="H50"/>
  <c r="I50" s="1"/>
  <c r="H51"/>
  <c r="I51" s="1"/>
  <c r="H52"/>
  <c r="I52" s="1"/>
  <c r="H53"/>
  <c r="I53" s="1"/>
  <c r="H54"/>
  <c r="I54" s="1"/>
  <c r="H55"/>
  <c r="I55" s="1"/>
  <c r="H56"/>
  <c r="I56" s="1"/>
  <c r="H57"/>
  <c r="I57" s="1"/>
  <c r="H58"/>
  <c r="I58" s="1"/>
  <c r="G6"/>
  <c r="F6"/>
  <c r="E6"/>
  <c r="H6" s="1"/>
  <c r="G5"/>
  <c r="F5"/>
  <c r="D1359" i="14"/>
  <c r="C1359"/>
  <c r="B1359"/>
  <c r="E1357"/>
  <c r="E1356"/>
  <c r="E1355"/>
  <c r="E1353"/>
  <c r="E1352"/>
  <c r="E1351"/>
  <c r="E1350"/>
  <c r="E1349"/>
  <c r="E1348"/>
  <c r="E1347"/>
  <c r="E1346"/>
  <c r="E1344"/>
  <c r="E1343"/>
  <c r="E1342"/>
  <c r="E1341"/>
  <c r="E1340"/>
  <c r="E1338"/>
  <c r="E1336"/>
  <c r="E1334"/>
  <c r="E1333"/>
  <c r="E1332"/>
  <c r="E1331"/>
  <c r="E1330"/>
  <c r="E1329"/>
  <c r="E1328"/>
  <c r="E1327"/>
  <c r="E1326"/>
  <c r="E1325"/>
  <c r="E1324"/>
  <c r="E1323"/>
  <c r="E1322"/>
  <c r="E1319"/>
  <c r="E1317"/>
  <c r="E1315"/>
  <c r="E1314"/>
  <c r="E1312"/>
  <c r="E1311"/>
  <c r="E1310"/>
  <c r="E1309"/>
  <c r="E1308"/>
  <c r="E1307"/>
  <c r="E1306"/>
  <c r="E1305"/>
  <c r="E1304"/>
  <c r="E1303"/>
  <c r="E1302"/>
  <c r="E1301"/>
  <c r="E1299"/>
  <c r="E1298"/>
  <c r="E1294"/>
  <c r="E1293"/>
  <c r="E1292"/>
  <c r="E1291"/>
  <c r="E1290"/>
  <c r="E1288"/>
  <c r="E1287"/>
  <c r="E1284"/>
  <c r="E1283"/>
  <c r="E1282"/>
  <c r="E1281"/>
  <c r="E1280"/>
  <c r="E1279"/>
  <c r="E1278"/>
  <c r="E1277"/>
  <c r="E1276"/>
  <c r="E1275"/>
  <c r="E1273"/>
  <c r="E1272"/>
  <c r="E1271"/>
  <c r="E1270"/>
  <c r="E1269"/>
  <c r="E1268"/>
  <c r="E1267"/>
  <c r="E1266"/>
  <c r="E1265"/>
  <c r="E1264"/>
  <c r="E1263"/>
  <c r="E1262"/>
  <c r="E1261"/>
  <c r="E1260"/>
  <c r="E1257"/>
  <c r="E1256"/>
  <c r="E1255"/>
  <c r="E1252"/>
  <c r="E1251"/>
  <c r="E1250"/>
  <c r="E1249"/>
  <c r="E1246"/>
  <c r="E1245"/>
  <c r="E1243"/>
  <c r="E1242"/>
  <c r="E1241"/>
  <c r="E1240"/>
  <c r="E1239"/>
  <c r="E1238"/>
  <c r="E1237"/>
  <c r="E1236"/>
  <c r="E1235"/>
  <c r="E1234"/>
  <c r="E1233"/>
  <c r="E1231"/>
  <c r="E1230"/>
  <c r="E1229"/>
  <c r="E1225"/>
  <c r="E1224"/>
  <c r="E1223"/>
  <c r="E1222"/>
  <c r="E1221"/>
  <c r="E1220"/>
  <c r="E1219"/>
  <c r="E1218"/>
  <c r="E1217"/>
  <c r="E1216"/>
  <c r="E1215"/>
  <c r="E1214"/>
  <c r="E1213"/>
  <c r="E1211"/>
  <c r="E1208"/>
  <c r="E1207"/>
  <c r="E1204"/>
  <c r="E1203"/>
  <c r="E1202"/>
  <c r="E1201"/>
  <c r="E1200"/>
  <c r="E1199"/>
  <c r="E1197"/>
  <c r="E1196"/>
  <c r="E1195"/>
  <c r="E1194"/>
  <c r="E1193"/>
  <c r="E1192"/>
  <c r="E1191"/>
  <c r="E1190"/>
  <c r="E1189"/>
  <c r="E1187"/>
  <c r="E1186"/>
  <c r="E1184"/>
  <c r="E1183"/>
  <c r="E1182"/>
  <c r="E1181"/>
  <c r="E1180"/>
  <c r="E1179"/>
  <c r="E1178"/>
  <c r="E1177"/>
  <c r="E1175"/>
  <c r="E1174"/>
  <c r="E1173"/>
  <c r="E1172"/>
  <c r="E1171"/>
  <c r="E1169"/>
  <c r="E1168"/>
  <c r="E1166"/>
  <c r="E1164"/>
  <c r="E1163"/>
  <c r="E1162"/>
  <c r="E1161"/>
  <c r="E1160"/>
  <c r="E1157"/>
  <c r="E1155"/>
  <c r="E1154"/>
  <c r="E1153"/>
  <c r="E1152"/>
  <c r="E1151"/>
  <c r="E1150"/>
  <c r="E1149"/>
  <c r="E1148"/>
  <c r="E1147"/>
  <c r="E1145"/>
  <c r="E1143"/>
  <c r="E1142"/>
  <c r="E1141"/>
  <c r="E1140"/>
  <c r="E1138"/>
  <c r="E1137"/>
  <c r="E1136"/>
  <c r="E1135"/>
  <c r="E1134"/>
  <c r="E1133"/>
  <c r="E1132"/>
  <c r="E1131"/>
  <c r="E1129"/>
  <c r="E1128"/>
  <c r="E1127"/>
  <c r="E1126"/>
  <c r="E1124"/>
  <c r="E1122"/>
  <c r="E1121"/>
  <c r="E1120"/>
  <c r="E1119"/>
  <c r="E1118"/>
  <c r="E1117"/>
  <c r="E1116"/>
  <c r="E1115"/>
  <c r="E1114"/>
  <c r="E1113"/>
  <c r="E1112"/>
  <c r="E1111"/>
  <c r="E1110"/>
  <c r="E1107"/>
  <c r="E1105"/>
  <c r="E1104"/>
  <c r="E1103"/>
  <c r="E1101"/>
  <c r="E1100"/>
  <c r="E1099"/>
  <c r="E1098"/>
  <c r="E1097"/>
  <c r="E1095"/>
  <c r="E1094"/>
  <c r="E1093"/>
  <c r="E1091"/>
  <c r="E1088"/>
  <c r="E1087"/>
  <c r="E1086"/>
  <c r="E1085"/>
  <c r="E1084"/>
  <c r="E1082"/>
  <c r="E1081"/>
  <c r="E1079"/>
  <c r="E1077"/>
  <c r="E1076"/>
  <c r="E1075"/>
  <c r="E1074"/>
  <c r="E1073"/>
  <c r="E1072"/>
  <c r="E1071"/>
  <c r="E1070"/>
  <c r="E1069"/>
  <c r="E1068"/>
  <c r="E1066"/>
  <c r="E1065"/>
  <c r="E1064"/>
  <c r="E1063"/>
  <c r="E1061"/>
  <c r="E1059"/>
  <c r="E1058"/>
  <c r="E1057"/>
  <c r="E1056"/>
  <c r="E1055"/>
  <c r="E1054"/>
  <c r="E1052"/>
  <c r="E1051"/>
  <c r="E1050"/>
  <c r="E1049"/>
  <c r="E1048"/>
  <c r="E1047"/>
  <c r="E1045"/>
  <c r="E1044"/>
  <c r="E1043"/>
  <c r="E1037"/>
  <c r="E1036"/>
  <c r="E1035"/>
  <c r="E1034"/>
  <c r="E1033"/>
  <c r="E1032"/>
  <c r="E1028"/>
  <c r="E1027"/>
  <c r="E1026"/>
  <c r="E1025"/>
  <c r="E1024"/>
  <c r="E1023"/>
  <c r="E1022"/>
  <c r="E1021"/>
  <c r="E1020"/>
  <c r="E1019"/>
  <c r="E1016"/>
  <c r="E1015"/>
  <c r="E1014"/>
  <c r="E1013"/>
  <c r="E1012"/>
  <c r="E1010"/>
  <c r="E1008"/>
  <c r="E1007"/>
  <c r="E1006"/>
  <c r="E1004"/>
  <c r="E1003"/>
  <c r="E1002"/>
  <c r="E1001"/>
  <c r="E1000"/>
  <c r="E998"/>
  <c r="E997"/>
  <c r="E996"/>
  <c r="E994"/>
  <c r="E993"/>
  <c r="E992"/>
  <c r="E991"/>
  <c r="E989"/>
  <c r="E988"/>
  <c r="E987"/>
  <c r="E986"/>
  <c r="E985"/>
  <c r="E982"/>
  <c r="E981"/>
  <c r="E980"/>
  <c r="E978"/>
  <c r="E976"/>
  <c r="E975"/>
  <c r="E974"/>
  <c r="E972"/>
  <c r="E971"/>
  <c r="E970"/>
  <c r="E969"/>
  <c r="E968"/>
  <c r="E967"/>
  <c r="E966"/>
  <c r="E965"/>
  <c r="E964"/>
  <c r="E962"/>
  <c r="E961"/>
  <c r="E959"/>
  <c r="E958"/>
  <c r="E957"/>
  <c r="E955"/>
  <c r="E954"/>
  <c r="E953"/>
  <c r="E952"/>
  <c r="E951"/>
  <c r="E950"/>
  <c r="E949"/>
  <c r="E947"/>
  <c r="E946"/>
  <c r="E945"/>
  <c r="E943"/>
  <c r="E942"/>
  <c r="E941"/>
  <c r="E940"/>
  <c r="E938"/>
  <c r="E937"/>
  <c r="E934"/>
  <c r="E933"/>
  <c r="E932"/>
  <c r="E931"/>
  <c r="E930"/>
  <c r="E928"/>
  <c r="E927"/>
  <c r="E926"/>
  <c r="E925"/>
  <c r="E924"/>
  <c r="E922"/>
  <c r="E921"/>
  <c r="E920"/>
  <c r="E919"/>
  <c r="E918"/>
  <c r="E917"/>
  <c r="E916"/>
  <c r="E915"/>
  <c r="E913"/>
  <c r="E912"/>
  <c r="E911"/>
  <c r="E910"/>
  <c r="E909"/>
  <c r="E908"/>
  <c r="E907"/>
  <c r="E906"/>
  <c r="E905"/>
  <c r="E904"/>
  <c r="E903"/>
  <c r="E901"/>
  <c r="E900"/>
  <c r="E898"/>
  <c r="E897"/>
  <c r="E896"/>
  <c r="E895"/>
  <c r="E894"/>
  <c r="E892"/>
  <c r="E891"/>
  <c r="E890"/>
  <c r="E889"/>
  <c r="E888"/>
  <c r="E887"/>
  <c r="E886"/>
  <c r="E884"/>
  <c r="E883"/>
  <c r="E882"/>
  <c r="E880"/>
  <c r="E879"/>
  <c r="E878"/>
  <c r="E877"/>
  <c r="E876"/>
  <c r="E875"/>
  <c r="E874"/>
  <c r="E873"/>
  <c r="E871"/>
  <c r="E870"/>
  <c r="E869"/>
  <c r="E868"/>
  <c r="E867"/>
  <c r="E866"/>
  <c r="E865"/>
  <c r="E864"/>
  <c r="E863"/>
  <c r="E862"/>
  <c r="E861"/>
  <c r="E860"/>
  <c r="E857"/>
  <c r="E856"/>
  <c r="E854"/>
  <c r="E853"/>
  <c r="E851"/>
  <c r="E850"/>
  <c r="E849"/>
  <c r="E848"/>
  <c r="E847"/>
  <c r="E846"/>
  <c r="E845"/>
  <c r="E844"/>
  <c r="E843"/>
  <c r="E842"/>
  <c r="E841"/>
  <c r="E840"/>
  <c r="E839"/>
  <c r="E838"/>
  <c r="E836"/>
  <c r="E835"/>
  <c r="E833"/>
  <c r="E832"/>
  <c r="E830"/>
  <c r="E829"/>
  <c r="E828"/>
  <c r="E827"/>
  <c r="E826"/>
  <c r="E825"/>
  <c r="E824"/>
  <c r="E823"/>
  <c r="E822"/>
  <c r="E821"/>
  <c r="E819"/>
  <c r="E817"/>
  <c r="E816"/>
  <c r="E815"/>
  <c r="E814"/>
  <c r="E813"/>
  <c r="E812"/>
  <c r="E811"/>
  <c r="E809"/>
  <c r="E808"/>
  <c r="E807"/>
  <c r="E806"/>
  <c r="E805"/>
  <c r="E804"/>
  <c r="E802"/>
  <c r="E801"/>
  <c r="E799"/>
  <c r="E798"/>
  <c r="E797"/>
  <c r="E796"/>
  <c r="E795"/>
  <c r="E794"/>
  <c r="E793"/>
  <c r="E792"/>
  <c r="E791"/>
  <c r="E790"/>
  <c r="E788"/>
  <c r="E787"/>
  <c r="E786"/>
  <c r="E784"/>
  <c r="E783"/>
  <c r="E782"/>
  <c r="E781"/>
  <c r="E780"/>
  <c r="E778"/>
  <c r="E777"/>
  <c r="E776"/>
  <c r="E775"/>
  <c r="E774"/>
  <c r="E773"/>
  <c r="E771"/>
  <c r="E770"/>
  <c r="E769"/>
  <c r="E767"/>
  <c r="E766"/>
  <c r="E765"/>
  <c r="E764"/>
  <c r="E763"/>
  <c r="E762"/>
  <c r="E761"/>
  <c r="E760"/>
  <c r="E759"/>
  <c r="E758"/>
  <c r="E757"/>
  <c r="E756"/>
  <c r="E755"/>
  <c r="E753"/>
  <c r="E752"/>
  <c r="E750"/>
  <c r="E749"/>
  <c r="E747"/>
  <c r="E746"/>
  <c r="E745"/>
  <c r="E744"/>
  <c r="E743"/>
  <c r="E742"/>
  <c r="E741"/>
  <c r="E740"/>
  <c r="E739"/>
  <c r="E738"/>
  <c r="E737"/>
  <c r="E734"/>
  <c r="E733"/>
  <c r="E732"/>
  <c r="E731"/>
  <c r="E730"/>
  <c r="E729"/>
  <c r="E728"/>
  <c r="E725"/>
  <c r="E724"/>
  <c r="E723"/>
  <c r="E722"/>
  <c r="E721"/>
  <c r="E720"/>
  <c r="E718"/>
  <c r="E717"/>
  <c r="E716"/>
  <c r="E715"/>
  <c r="E714"/>
  <c r="E713"/>
  <c r="E712"/>
  <c r="E711"/>
  <c r="E710"/>
  <c r="E707"/>
  <c r="E704"/>
  <c r="E703"/>
  <c r="E702"/>
  <c r="E701"/>
  <c r="E700"/>
  <c r="E699"/>
  <c r="E698"/>
  <c r="E697"/>
  <c r="E696"/>
  <c r="E695"/>
  <c r="E694"/>
  <c r="E693"/>
  <c r="E692"/>
  <c r="E689"/>
  <c r="E688"/>
  <c r="E686"/>
  <c r="E685"/>
  <c r="E683"/>
  <c r="E682"/>
  <c r="E681"/>
  <c r="E680"/>
  <c r="E678"/>
  <c r="E677"/>
  <c r="E676"/>
  <c r="E675"/>
  <c r="E672"/>
  <c r="E671"/>
  <c r="E670"/>
  <c r="E669"/>
  <c r="E668"/>
  <c r="E666"/>
  <c r="E665"/>
  <c r="E664"/>
  <c r="E663"/>
  <c r="E660"/>
  <c r="E659"/>
  <c r="E658"/>
  <c r="E657"/>
  <c r="E656"/>
  <c r="E655"/>
  <c r="E652"/>
  <c r="E651"/>
  <c r="E650"/>
  <c r="E649"/>
  <c r="E647"/>
  <c r="E646"/>
  <c r="E645"/>
  <c r="E644"/>
  <c r="E643"/>
  <c r="E642"/>
  <c r="E641"/>
  <c r="E639"/>
  <c r="E638"/>
  <c r="E637"/>
  <c r="E636"/>
  <c r="E635"/>
  <c r="E634"/>
  <c r="E633"/>
  <c r="E632"/>
  <c r="E631"/>
  <c r="E630"/>
  <c r="E629"/>
  <c r="E628"/>
  <c r="E627"/>
  <c r="E626"/>
  <c r="E624"/>
  <c r="E623"/>
  <c r="E621"/>
  <c r="E618"/>
  <c r="E617"/>
  <c r="E616"/>
  <c r="E615"/>
  <c r="E614"/>
  <c r="E613"/>
  <c r="E612"/>
  <c r="E611"/>
  <c r="E610"/>
  <c r="E609"/>
  <c r="E608"/>
  <c r="E607"/>
  <c r="E606"/>
  <c r="E603"/>
  <c r="E602"/>
  <c r="E600"/>
  <c r="E597"/>
  <c r="E595"/>
  <c r="E593"/>
  <c r="E591"/>
  <c r="E590"/>
  <c r="E588"/>
  <c r="E587"/>
  <c r="E586"/>
  <c r="E585"/>
  <c r="E584"/>
  <c r="E583"/>
  <c r="E582"/>
  <c r="E581"/>
  <c r="E580"/>
  <c r="E579"/>
  <c r="E578"/>
  <c r="E577"/>
  <c r="E576"/>
  <c r="E574"/>
  <c r="E573"/>
  <c r="E572"/>
  <c r="E571"/>
  <c r="E570"/>
  <c r="E569"/>
  <c r="E568"/>
  <c r="E567"/>
  <c r="E566"/>
  <c r="E565"/>
  <c r="E564"/>
  <c r="E562"/>
  <c r="E560"/>
  <c r="E559"/>
  <c r="E558"/>
  <c r="E557"/>
  <c r="E555"/>
  <c r="E553"/>
  <c r="E552"/>
  <c r="E551"/>
  <c r="E550"/>
  <c r="E548"/>
  <c r="E547"/>
  <c r="E546"/>
  <c r="E545"/>
  <c r="E543"/>
  <c r="E542"/>
  <c r="E540"/>
  <c r="E525"/>
  <c r="E524"/>
  <c r="E523"/>
  <c r="E519"/>
  <c r="E517"/>
  <c r="E516"/>
  <c r="E515"/>
  <c r="E514"/>
  <c r="E513"/>
  <c r="E512"/>
  <c r="E511"/>
  <c r="E510"/>
  <c r="E508"/>
  <c r="E507"/>
  <c r="E506"/>
  <c r="E505"/>
  <c r="E504"/>
  <c r="E503"/>
  <c r="E502"/>
  <c r="E501"/>
  <c r="E498"/>
  <c r="E496"/>
  <c r="E493"/>
  <c r="E491"/>
  <c r="E490"/>
  <c r="E488"/>
  <c r="E487"/>
  <c r="E485"/>
  <c r="E484"/>
  <c r="E483"/>
  <c r="E482"/>
  <c r="E481"/>
  <c r="E479"/>
  <c r="E477"/>
  <c r="E476"/>
  <c r="E474"/>
  <c r="E473"/>
  <c r="E472"/>
  <c r="E471"/>
  <c r="E470"/>
  <c r="E468"/>
  <c r="E465"/>
  <c r="E464"/>
  <c r="E462"/>
  <c r="E461"/>
  <c r="E459"/>
  <c r="E458"/>
  <c r="E457"/>
  <c r="E456"/>
  <c r="E455"/>
  <c r="E454"/>
  <c r="E453"/>
  <c r="E451"/>
  <c r="E449"/>
  <c r="E447"/>
  <c r="E446"/>
  <c r="E445"/>
  <c r="E444"/>
  <c r="E443"/>
  <c r="E442"/>
  <c r="E440"/>
  <c r="E439"/>
  <c r="E437"/>
  <c r="E436"/>
  <c r="E434"/>
  <c r="E433"/>
  <c r="E432"/>
  <c r="E431"/>
  <c r="E430"/>
  <c r="E428"/>
  <c r="E427"/>
  <c r="E426"/>
  <c r="E425"/>
  <c r="E424"/>
  <c r="E422"/>
  <c r="E420"/>
  <c r="E418"/>
  <c r="E417"/>
  <c r="E416"/>
  <c r="E415"/>
  <c r="E413"/>
  <c r="E412"/>
  <c r="E411"/>
  <c r="E410"/>
  <c r="E409"/>
  <c r="E408"/>
  <c r="E406"/>
  <c r="E405"/>
  <c r="E404"/>
  <c r="E403"/>
  <c r="E401"/>
  <c r="E400"/>
  <c r="E399"/>
  <c r="E396"/>
  <c r="E394"/>
  <c r="E393"/>
  <c r="E392"/>
  <c r="E380"/>
  <c r="E379"/>
  <c r="E377"/>
  <c r="E376"/>
  <c r="E375"/>
  <c r="E373"/>
  <c r="E372"/>
  <c r="E371"/>
  <c r="E370"/>
  <c r="E358"/>
  <c r="E357"/>
  <c r="E355"/>
  <c r="E354"/>
  <c r="E353"/>
  <c r="E352"/>
  <c r="E351"/>
  <c r="E350"/>
  <c r="E348"/>
  <c r="E347"/>
  <c r="E345"/>
  <c r="E344"/>
  <c r="E343"/>
  <c r="E342"/>
  <c r="E341"/>
  <c r="E340"/>
  <c r="E338"/>
  <c r="E336"/>
  <c r="E335"/>
  <c r="E334"/>
  <c r="E332"/>
  <c r="E327"/>
  <c r="E326"/>
  <c r="E325"/>
  <c r="E324"/>
  <c r="E323"/>
  <c r="E321"/>
  <c r="E320"/>
  <c r="E319"/>
  <c r="E318"/>
  <c r="E317"/>
  <c r="E315"/>
  <c r="E314"/>
  <c r="E313"/>
  <c r="E312"/>
  <c r="E310"/>
  <c r="E309"/>
  <c r="E308"/>
  <c r="E307"/>
  <c r="E305"/>
  <c r="E304"/>
  <c r="E303"/>
  <c r="E301"/>
  <c r="E300"/>
  <c r="E299"/>
  <c r="E298"/>
  <c r="E297"/>
  <c r="E296"/>
  <c r="E294"/>
  <c r="E293"/>
  <c r="E291"/>
  <c r="E290"/>
  <c r="E289"/>
  <c r="E288"/>
  <c r="E286"/>
  <c r="E285"/>
  <c r="E284"/>
  <c r="E283"/>
  <c r="E282"/>
  <c r="E280"/>
  <c r="E278"/>
  <c r="E277"/>
  <c r="E276"/>
  <c r="E275"/>
  <c r="E273"/>
  <c r="E272"/>
  <c r="E271"/>
  <c r="E270"/>
  <c r="E268"/>
  <c r="E267"/>
  <c r="E266"/>
  <c r="E265"/>
  <c r="E264"/>
  <c r="E262"/>
  <c r="E261"/>
  <c r="E258"/>
  <c r="E256"/>
  <c r="E255"/>
  <c r="E254"/>
  <c r="E252"/>
  <c r="E251"/>
  <c r="E249"/>
  <c r="E248"/>
  <c r="E247"/>
  <c r="E246"/>
  <c r="E245"/>
  <c r="E244"/>
  <c r="E243"/>
  <c r="E241"/>
  <c r="E240"/>
  <c r="E239"/>
  <c r="E238"/>
  <c r="E237"/>
  <c r="E236"/>
  <c r="E234"/>
  <c r="E233"/>
  <c r="E232"/>
  <c r="E230"/>
  <c r="E229"/>
  <c r="E228"/>
  <c r="E227"/>
  <c r="E225"/>
  <c r="E224"/>
  <c r="E223"/>
  <c r="E222"/>
  <c r="E221"/>
  <c r="E220"/>
  <c r="E219"/>
  <c r="E217"/>
  <c r="E216"/>
  <c r="E215"/>
  <c r="E214"/>
  <c r="E211"/>
  <c r="E209"/>
  <c r="E208"/>
  <c r="E206"/>
  <c r="E205"/>
  <c r="E204"/>
  <c r="E202"/>
  <c r="E201"/>
  <c r="E200"/>
  <c r="E199"/>
  <c r="E198"/>
  <c r="E196"/>
  <c r="E195"/>
  <c r="E193"/>
  <c r="E192"/>
  <c r="E188"/>
  <c r="E186"/>
  <c r="E185"/>
  <c r="E184"/>
  <c r="E182"/>
  <c r="E181"/>
  <c r="E180"/>
  <c r="E179"/>
  <c r="E177"/>
  <c r="E175"/>
  <c r="E174"/>
  <c r="E173"/>
  <c r="E172"/>
  <c r="E171"/>
  <c r="E170"/>
  <c r="E168"/>
  <c r="E167"/>
  <c r="E166"/>
  <c r="E165"/>
  <c r="E162"/>
  <c r="E161"/>
  <c r="E160"/>
  <c r="E159"/>
  <c r="E158"/>
  <c r="E157"/>
  <c r="E156"/>
  <c r="E154"/>
  <c r="E151"/>
  <c r="E150"/>
  <c r="E149"/>
  <c r="E147"/>
  <c r="E146"/>
  <c r="E145"/>
  <c r="E144"/>
  <c r="E143"/>
  <c r="E140"/>
  <c r="E139"/>
  <c r="E138"/>
  <c r="E136"/>
  <c r="E135"/>
  <c r="E133"/>
  <c r="E132"/>
  <c r="E131"/>
  <c r="E130"/>
  <c r="E129"/>
  <c r="E128"/>
  <c r="E127"/>
  <c r="E125"/>
  <c r="E123"/>
  <c r="E119"/>
  <c r="E118"/>
  <c r="E116"/>
  <c r="E115"/>
  <c r="E114"/>
  <c r="E113"/>
  <c r="E112"/>
  <c r="E111"/>
  <c r="E110"/>
  <c r="E108"/>
  <c r="E107"/>
  <c r="E106"/>
  <c r="E104"/>
  <c r="E101"/>
  <c r="E99"/>
  <c r="E98"/>
  <c r="E96"/>
  <c r="E94"/>
  <c r="E93"/>
  <c r="E92"/>
  <c r="E91"/>
  <c r="E90"/>
  <c r="E89"/>
  <c r="E88"/>
  <c r="E86"/>
  <c r="E85"/>
  <c r="E84"/>
  <c r="E81"/>
  <c r="E79"/>
  <c r="E78"/>
  <c r="E77"/>
  <c r="E76"/>
  <c r="E75"/>
  <c r="E74"/>
  <c r="E73"/>
  <c r="E71"/>
  <c r="E70"/>
  <c r="E68"/>
  <c r="E67"/>
  <c r="E66"/>
  <c r="E65"/>
  <c r="E63"/>
  <c r="E62"/>
  <c r="E61"/>
  <c r="E60"/>
  <c r="E58"/>
  <c r="E45"/>
  <c r="E44"/>
  <c r="E43"/>
  <c r="E42"/>
  <c r="E41"/>
  <c r="E39"/>
  <c r="E36"/>
  <c r="E34"/>
  <c r="E33"/>
  <c r="E32"/>
  <c r="E31"/>
  <c r="E30"/>
  <c r="E28"/>
  <c r="E27"/>
  <c r="E26"/>
  <c r="E24"/>
  <c r="E23"/>
  <c r="E22"/>
  <c r="E21"/>
  <c r="E20"/>
  <c r="E19"/>
  <c r="E17"/>
  <c r="E15"/>
  <c r="E14"/>
  <c r="H60" i="13" l="1"/>
  <c r="I60" s="1"/>
  <c r="H61"/>
  <c r="I61" s="1"/>
  <c r="I6" i="15"/>
  <c r="I6" i="13"/>
  <c r="S7"/>
  <c r="S9"/>
  <c r="S11"/>
  <c r="S13"/>
  <c r="S15"/>
  <c r="S17"/>
  <c r="S19"/>
  <c r="S21"/>
  <c r="S23"/>
  <c r="S25"/>
  <c r="S27"/>
  <c r="S29"/>
  <c r="S31"/>
  <c r="S33"/>
  <c r="S35"/>
  <c r="S37"/>
  <c r="S39"/>
  <c r="S43"/>
  <c r="S57"/>
  <c r="S69"/>
  <c r="S65"/>
  <c r="S61"/>
  <c r="S54"/>
  <c r="S50"/>
  <c r="S46"/>
  <c r="H6" i="15"/>
  <c r="O6" s="1"/>
  <c r="S6" i="13"/>
  <c r="S8"/>
  <c r="S10"/>
  <c r="S12"/>
  <c r="S14"/>
  <c r="S16"/>
  <c r="S18"/>
  <c r="S20"/>
  <c r="S22"/>
  <c r="S24"/>
  <c r="S26"/>
  <c r="S28"/>
  <c r="S30"/>
  <c r="S34"/>
  <c r="S36"/>
  <c r="S38"/>
  <c r="S40"/>
  <c r="S42"/>
  <c r="S58"/>
  <c r="S60"/>
  <c r="S62"/>
  <c r="S64"/>
  <c r="S66"/>
  <c r="S68"/>
  <c r="S70"/>
  <c r="S45"/>
  <c r="S47"/>
  <c r="S49"/>
  <c r="S51"/>
  <c r="S53"/>
  <c r="S55"/>
  <c r="S67"/>
  <c r="S63"/>
  <c r="S56"/>
  <c r="S52"/>
  <c r="S48"/>
  <c r="S44"/>
  <c r="Q32"/>
  <c r="S32" s="1"/>
  <c r="Q41"/>
  <c r="S41" s="1"/>
  <c r="I68"/>
  <c r="I16"/>
  <c r="I10"/>
  <c r="I8"/>
  <c r="R10" l="1"/>
  <c r="R60" l="1"/>
  <c r="N71" l="1"/>
  <c r="P71" l="1"/>
  <c r="M71"/>
  <c r="K71"/>
  <c r="O71"/>
  <c r="F71"/>
  <c r="F5" i="15" s="1"/>
  <c r="R32" i="13" l="1"/>
  <c r="R34"/>
  <c r="G71"/>
  <c r="G5" i="15" s="1"/>
  <c r="R11" i="13"/>
  <c r="R18"/>
  <c r="R29"/>
  <c r="R70"/>
  <c r="R36"/>
  <c r="R28"/>
  <c r="R63"/>
  <c r="R58"/>
  <c r="R57"/>
  <c r="R56"/>
  <c r="R55"/>
  <c r="R54"/>
  <c r="R53"/>
  <c r="R52"/>
  <c r="R51"/>
  <c r="R50"/>
  <c r="R49"/>
  <c r="R48"/>
  <c r="R47"/>
  <c r="R46"/>
  <c r="R45"/>
  <c r="R43"/>
  <c r="R42"/>
  <c r="R41"/>
  <c r="R40"/>
  <c r="R39"/>
  <c r="R38"/>
  <c r="R37"/>
  <c r="R6"/>
  <c r="R8"/>
  <c r="R12"/>
  <c r="R13"/>
  <c r="R14"/>
  <c r="R16"/>
  <c r="R17"/>
  <c r="R19"/>
  <c r="R21"/>
  <c r="R23"/>
  <c r="R25"/>
  <c r="R27"/>
  <c r="R30"/>
  <c r="R35"/>
  <c r="R62"/>
  <c r="R65"/>
  <c r="R67"/>
  <c r="R69"/>
  <c r="R61" l="1"/>
  <c r="R33"/>
  <c r="R15"/>
  <c r="R66"/>
  <c r="R26"/>
  <c r="R22"/>
  <c r="R68"/>
  <c r="R31"/>
  <c r="R24"/>
  <c r="R20"/>
  <c r="R9"/>
  <c r="R7"/>
  <c r="Q71" l="1"/>
  <c r="E71"/>
  <c r="E5" i="15" s="1"/>
  <c r="S5" i="13"/>
  <c r="S71"/>
  <c r="H5"/>
  <c r="H71" s="1"/>
  <c r="H5" i="15" s="1"/>
  <c r="O5" s="1"/>
  <c r="O7" s="1"/>
  <c r="I5" i="13" l="1"/>
  <c r="R5" s="1"/>
  <c r="R71" s="1"/>
  <c r="I71"/>
  <c r="I5" i="15" s="1"/>
</calcChain>
</file>

<file path=xl/sharedStrings.xml><?xml version="1.0" encoding="utf-8"?>
<sst xmlns="http://schemas.openxmlformats.org/spreadsheetml/2006/main" count="1639" uniqueCount="202">
  <si>
    <t>адрес</t>
  </si>
  <si>
    <t>наименование</t>
  </si>
  <si>
    <t>стоимость работ</t>
  </si>
  <si>
    <t>№</t>
  </si>
  <si>
    <t>Зубово</t>
  </si>
  <si>
    <t>Новая</t>
  </si>
  <si>
    <t>Октябрьская</t>
  </si>
  <si>
    <t>6/а</t>
  </si>
  <si>
    <t>Первомайская</t>
  </si>
  <si>
    <t>15 общ</t>
  </si>
  <si>
    <t>Школьная</t>
  </si>
  <si>
    <t>Новощапово</t>
  </si>
  <si>
    <t>Центральная</t>
  </si>
  <si>
    <t>Струбково</t>
  </si>
  <si>
    <t>Соголево</t>
  </si>
  <si>
    <t>1/а</t>
  </si>
  <si>
    <t>2/а</t>
  </si>
  <si>
    <t>3/а</t>
  </si>
  <si>
    <t>4/а</t>
  </si>
  <si>
    <t>БЛОКИРОВАННЫЕ</t>
  </si>
  <si>
    <t>Напругово</t>
  </si>
  <si>
    <t>7/а</t>
  </si>
  <si>
    <t>8/а</t>
  </si>
  <si>
    <t xml:space="preserve">ОТЧЕТ </t>
  </si>
  <si>
    <t>ВСЕГО по РЭУ</t>
  </si>
  <si>
    <t>содержание  УК и МосОблЕИРЦ</t>
  </si>
  <si>
    <t>Форма №50.39.05</t>
  </si>
  <si>
    <t>Ведомость по начислению и оплате за ЖКУ по домам</t>
  </si>
  <si>
    <t>Услуга</t>
  </si>
  <si>
    <t>Начислено</t>
  </si>
  <si>
    <t>Собрано</t>
  </si>
  <si>
    <t>Задолженость</t>
  </si>
  <si>
    <t>Уборка придом.террит.</t>
  </si>
  <si>
    <t>Текущий ремонт.</t>
  </si>
  <si>
    <t>Долг прошлых периодов</t>
  </si>
  <si>
    <t>Отопление</t>
  </si>
  <si>
    <t>Техническое обслуживание</t>
  </si>
  <si>
    <t>Холодное в/с</t>
  </si>
  <si>
    <t>Захоронение ТБО</t>
  </si>
  <si>
    <t>Уборка лестн.клеток</t>
  </si>
  <si>
    <t>Плата за наем</t>
  </si>
  <si>
    <t>Водоотведение</t>
  </si>
  <si>
    <t>Взнос на капитальный ремонт</t>
  </si>
  <si>
    <t>Вывоз ТБО</t>
  </si>
  <si>
    <t>Содержание ж/ф.</t>
  </si>
  <si>
    <t>Итого по дому:</t>
  </si>
  <si>
    <t>Отопление КПУ</t>
  </si>
  <si>
    <t>Добровольное страхование</t>
  </si>
  <si>
    <t>Вывоз ЖБО</t>
  </si>
  <si>
    <t>Захоронение жид.отходов</t>
  </si>
  <si>
    <t>Горячее в/с (носитель)</t>
  </si>
  <si>
    <t>Горячее в/с (энергия)</t>
  </si>
  <si>
    <t>Холодное в/с ОДН</t>
  </si>
  <si>
    <t>Горячее в/с (энергия) ОДН</t>
  </si>
  <si>
    <t>Оплата за установку ОДПУ</t>
  </si>
  <si>
    <t>Горячее в/с</t>
  </si>
  <si>
    <t xml:space="preserve">    СОГОЛЕВО, -, 1А</t>
  </si>
  <si>
    <t xml:space="preserve">    СОГОЛЕВО, -, 2А</t>
  </si>
  <si>
    <t xml:space="preserve">    СОГОЛЕВО, -, 3А</t>
  </si>
  <si>
    <t xml:space="preserve">    СОГОЛЕВО, -, 4А</t>
  </si>
  <si>
    <t xml:space="preserve">    СТРУБКОВО, ЦЕНТРАЛЬНАЯ, 4</t>
  </si>
  <si>
    <t xml:space="preserve">    СТРУБКОВО, ЦЕНТРАЛЬНАЯ, 5</t>
  </si>
  <si>
    <t xml:space="preserve">    СТРУБКОВО, ЦЕНТРАЛЬНАЯ, 8</t>
  </si>
  <si>
    <t>Электроснабжение</t>
  </si>
  <si>
    <t xml:space="preserve">    СТРУБКОВО, ЦЕНТРАЛЬНАЯ, 12</t>
  </si>
  <si>
    <t xml:space="preserve">    СТРУБКОВО, ЦЕНТРАЛЬНАЯ, 13</t>
  </si>
  <si>
    <t xml:space="preserve">    СТРУБКОВО, ЦЕНТРАЛЬНАЯ, 14</t>
  </si>
  <si>
    <t xml:space="preserve">    СТРУБКОВО, ЦЕНТРАЛЬНАЯ, 15</t>
  </si>
  <si>
    <t xml:space="preserve">    СТРУБКОВО, ЦЕНТРАЛЬНАЯ, 16</t>
  </si>
  <si>
    <t xml:space="preserve">    СТРУБКОВО, ЦЕНТРАЛЬНАЯ, 17</t>
  </si>
  <si>
    <t xml:space="preserve">    СТРУБКОВО, ЦЕНТРАЛЬНАЯ, 18</t>
  </si>
  <si>
    <t xml:space="preserve">    СТРУБКОВО, ЦЕНТРАЛЬНАЯ, 19</t>
  </si>
  <si>
    <t xml:space="preserve">    СТРУБКОВО, ЦЕНТРАЛЬНАЯ, 20</t>
  </si>
  <si>
    <t xml:space="preserve">    СТРУБКОВО, ЦЕНТРАЛЬНАЯ, 21</t>
  </si>
  <si>
    <t>работы выполненные подрядчиками</t>
  </si>
  <si>
    <r>
      <t xml:space="preserve">расходы по РЭУ </t>
    </r>
    <r>
      <rPr>
        <sz val="8"/>
        <color theme="1"/>
        <rFont val="Calibri"/>
        <family val="2"/>
        <charset val="204"/>
        <scheme val="minor"/>
      </rPr>
      <t>(з/пл.; электроэнергия подъезды; автоуслуги; материалы)</t>
    </r>
  </si>
  <si>
    <t>работы выполненные  рэу</t>
  </si>
  <si>
    <t>площади</t>
  </si>
  <si>
    <t>з/пл зубово</t>
  </si>
  <si>
    <t>ЕРЦ</t>
  </si>
  <si>
    <t>Аренда авто.</t>
  </si>
  <si>
    <t>начисление по содержанию МКД                           за 2016 год</t>
  </si>
  <si>
    <t>оплачено по содержанию МКД                         за 2016 год</t>
  </si>
  <si>
    <t>общий долг  по жилому дому на  01.01.2017</t>
  </si>
  <si>
    <t>задолженность по содержанию МКД  за 2016 год</t>
  </si>
  <si>
    <t>по начислениям и выполненым работам за 2016 года РЭУ "Зубово"</t>
  </si>
  <si>
    <r>
      <t xml:space="preserve">задолженность ресурсникам </t>
    </r>
    <r>
      <rPr>
        <sz val="8"/>
        <color theme="1"/>
        <rFont val="Calibri"/>
        <family val="2"/>
        <charset val="204"/>
        <scheme val="minor"/>
      </rPr>
      <t>(ХВС; ГВС; отопл.; мусор; канализ.; кап.и тек. ремонт; содержаниежилья до 2016 г.)</t>
    </r>
  </si>
  <si>
    <t>итого затрат по содержанию дома за 2016 год</t>
  </si>
  <si>
    <t>с 01.01.2016 по 31.12.2016</t>
  </si>
  <si>
    <t>Управляющая компания жилья</t>
  </si>
  <si>
    <t>% оплаты</t>
  </si>
  <si>
    <t xml:space="preserve">    д.Золино, -, 6 л/счета закрыты</t>
  </si>
  <si>
    <t xml:space="preserve">    д.Напругово, -, 48</t>
  </si>
  <si>
    <t xml:space="preserve">    д.Напругово, НОВАЯ, 2</t>
  </si>
  <si>
    <t xml:space="preserve">    д.Опалево, -, 45</t>
  </si>
  <si>
    <t xml:space="preserve">    д.Ясенево, -, 2</t>
  </si>
  <si>
    <t>13.01.2017</t>
  </si>
  <si>
    <t xml:space="preserve">    д.Ясенево, -, 61</t>
  </si>
  <si>
    <t xml:space="preserve">    п.Зубово, НОВАЯ, 21</t>
  </si>
  <si>
    <t xml:space="preserve">    п.Зубово, НОВАЯ, 22</t>
  </si>
  <si>
    <t xml:space="preserve">    п.Зубово, НОВАЯ, 23</t>
  </si>
  <si>
    <t xml:space="preserve">    п.Зубово, НОВАЯ, 24</t>
  </si>
  <si>
    <t xml:space="preserve">    п.Зубово, НОВАЯ, 25</t>
  </si>
  <si>
    <t xml:space="preserve">    п.Зубово, НОВАЯ, 26</t>
  </si>
  <si>
    <t xml:space="preserve">    п.Зубово, НОВАЯ, 27</t>
  </si>
  <si>
    <t xml:space="preserve">    п.Зубово, НОВАЯ, 28</t>
  </si>
  <si>
    <t xml:space="preserve">    п.Зубово, НОВАЯ, 29</t>
  </si>
  <si>
    <t xml:space="preserve">    п.Зубово, ОКТЯБРЬСКАЯ, 1</t>
  </si>
  <si>
    <t xml:space="preserve">    п.Зубово, ОКТЯБРЬСКАЯ, 4</t>
  </si>
  <si>
    <t xml:space="preserve">    п.Зубово, ОКТЯБРЬСКАЯ, 5</t>
  </si>
  <si>
    <t xml:space="preserve">    п.Зубово, ОКТЯБРЬСКАЯ, 6</t>
  </si>
  <si>
    <t xml:space="preserve">    п.Зубово, ОКТЯБРЬСКАЯ, 6А</t>
  </si>
  <si>
    <t xml:space="preserve">    п.Зубово, ОКТЯБРЬСКАЯ, 7А</t>
  </si>
  <si>
    <t xml:space="preserve">    п.Зубово, ОКТЯБРЬСКАЯ, 8А</t>
  </si>
  <si>
    <t xml:space="preserve">    п.Зубово, ПЕРВОМАЙСКАЯ, 15</t>
  </si>
  <si>
    <t xml:space="preserve">    п.Зубово, ПЕРВОМАЙСКАЯ, 15А ОБЩ.</t>
  </si>
  <si>
    <t xml:space="preserve">    п.Зубово, ПЕРВОМАЙСКАЯ, 16</t>
  </si>
  <si>
    <t xml:space="preserve">    п.Зубово, ПЕРВОМАЙСКАЯ, 17</t>
  </si>
  <si>
    <t xml:space="preserve">    п.Зубово, ПЕРВОМАЙСКАЯ, 18 л/счета закрыты</t>
  </si>
  <si>
    <t xml:space="preserve">    п.Зубово, ПЕРВОМАЙСКАЯ, 20</t>
  </si>
  <si>
    <t xml:space="preserve">    п.Зубово, ПЕРВОМАЙСКАЯ, 20А л/счета закрыты</t>
  </si>
  <si>
    <t xml:space="preserve">    п.Зубово, ПЕРВОМАЙСКАЯ, 23</t>
  </si>
  <si>
    <t xml:space="preserve">    п.Зубово, ПЕРВОМАЙСКАЯ, 25</t>
  </si>
  <si>
    <t xml:space="preserve">    п.Зубово, ПЕРВОМАЙСКАЯ, 36</t>
  </si>
  <si>
    <t xml:space="preserve">    п.Зубово, ПЕРВОМАЙСКАЯ, 38</t>
  </si>
  <si>
    <t xml:space="preserve">    п.Зубово, ШКОЛЬНАЯ, 3</t>
  </si>
  <si>
    <t xml:space="preserve">    п.Зубово, ШКОЛЬНАЯ, 4</t>
  </si>
  <si>
    <t xml:space="preserve">    п.Зубово, ШКОЛЬНАЯ, 6</t>
  </si>
  <si>
    <t xml:space="preserve">    п.Зубово, ШКОЛЬНАЯ, 7</t>
  </si>
  <si>
    <t xml:space="preserve">    п.Зубово, ШКОЛЬНАЯ, 8</t>
  </si>
  <si>
    <t xml:space="preserve">    п.Зубово, ШКОЛЬНАЯ, 9 л/счета закрыты</t>
  </si>
  <si>
    <t xml:space="preserve">    п.Зубово, ШКОЛЬНАЯ, 10</t>
  </si>
  <si>
    <t xml:space="preserve">    п.Зубово, ШКОЛЬНАЯ, 11</t>
  </si>
  <si>
    <t>Горячая вода (носитель) ОДН</t>
  </si>
  <si>
    <t xml:space="preserve">    п.Зубово, ШКОЛЬНАЯ, 12</t>
  </si>
  <si>
    <t>Установка ОДПУ</t>
  </si>
  <si>
    <t xml:space="preserve">    п.Зубово, ШКОЛЬНАЯ, 13</t>
  </si>
  <si>
    <t xml:space="preserve">    п.Зубово, ШКОЛЬНАЯ, 14</t>
  </si>
  <si>
    <t xml:space="preserve">    п.Зубово, ШКОЛЬНАЯ, 15</t>
  </si>
  <si>
    <t xml:space="preserve">    п.Зубово, ШКОЛЬНАЯ, 16</t>
  </si>
  <si>
    <t xml:space="preserve">    п.Зубово, ШКОЛЬНАЯ, 17</t>
  </si>
  <si>
    <t xml:space="preserve">    п.Зубово, ШКОЛЬНАЯ, 18</t>
  </si>
  <si>
    <t xml:space="preserve">    с.Новощапово, ЦЕНТРАЛЬНАЯ, 10</t>
  </si>
  <si>
    <t xml:space="preserve">    с.Новощапово, ЦЕНТРАЛЬНАЯ, 11</t>
  </si>
  <si>
    <t xml:space="preserve">    с.Новощапово, ЦЕНТРАЛЬНАЯ, 12</t>
  </si>
  <si>
    <t xml:space="preserve">    с.Новощапово, ЦЕНТРАЛЬНАЯ, 14</t>
  </si>
  <si>
    <t xml:space="preserve">    с.Новощапово, ЦЕНТРАЛЬНАЯ, 15</t>
  </si>
  <si>
    <t xml:space="preserve">    с.Новощапово, ЦЕНТРАЛЬНАЯ, 16</t>
  </si>
  <si>
    <t xml:space="preserve">    с.Новощапово, ЦЕНТРАЛЬНАЯ, 17</t>
  </si>
  <si>
    <t xml:space="preserve">    с.Новощапово, ЦЕНТРАЛЬНАЯ, 18</t>
  </si>
  <si>
    <t xml:space="preserve">    с.Новощапово, ЦЕНТРАЛЬНАЯ, 19</t>
  </si>
  <si>
    <t xml:space="preserve">    с.Новощапово, ЦЕНТРАЛЬНАЯ, 20</t>
  </si>
  <si>
    <t xml:space="preserve">    с.Новощапово, ЦЕНТРАЛЬНАЯ, 21</t>
  </si>
  <si>
    <t xml:space="preserve">    с.Новощапово, ЦЕНТРАЛЬНАЯ, 28</t>
  </si>
  <si>
    <t xml:space="preserve">    СТРУБКОВО, ЦЕНТРАЛЬНАЯ, 9</t>
  </si>
  <si>
    <t>ремонт выгребных ям</t>
  </si>
  <si>
    <t>урны</t>
  </si>
  <si>
    <t>поверка сч.</t>
  </si>
  <si>
    <t>УК</t>
  </si>
  <si>
    <t>ОСТАТОК</t>
  </si>
  <si>
    <t>блок питания</t>
  </si>
  <si>
    <t>дезинсекция</t>
  </si>
  <si>
    <t>ремонт кровли</t>
  </si>
  <si>
    <t>поверка</t>
  </si>
  <si>
    <t>дезинсекция; поверка</t>
  </si>
  <si>
    <t>ремонт откосов</t>
  </si>
  <si>
    <t>ремонт отмостки</t>
  </si>
  <si>
    <t>ремонт балкона</t>
  </si>
  <si>
    <t>замена канализации</t>
  </si>
  <si>
    <t>ремонт кранов</t>
  </si>
  <si>
    <t>ремонт подездов</t>
  </si>
  <si>
    <t>ремонт стояка; ремонт подъездов</t>
  </si>
  <si>
    <t>ремонт швов; ремонт входа в подвал</t>
  </si>
  <si>
    <t>ремонт откосов; ремонт входа в подвал</t>
  </si>
  <si>
    <t>ремонт швов; ремонт входа в подвал; замена рубильника</t>
  </si>
  <si>
    <t>ремонт отмостки; замена вентилей</t>
  </si>
  <si>
    <t>ремонт гвс</t>
  </si>
  <si>
    <t>ремонт ступеней</t>
  </si>
  <si>
    <t>урна; ремонт дорожного полотна; ремонт мягкой кровли</t>
  </si>
  <si>
    <t>покраска цоколя</t>
  </si>
  <si>
    <t>ремонт двери</t>
  </si>
  <si>
    <t>ремонт малых форм</t>
  </si>
  <si>
    <t>аншлаг; гидроизоляция пола</t>
  </si>
  <si>
    <t>ремонт казырьков</t>
  </si>
  <si>
    <t>ремонт казырьков; замена кабеля</t>
  </si>
  <si>
    <t>ремонт подъездов; замена кабеля</t>
  </si>
  <si>
    <t>установка д/пл; урны; замена светильников; замена кабеля; ремонт подъезда</t>
  </si>
  <si>
    <t>замена светильников; замена кабеля; иремонт подъезда</t>
  </si>
  <si>
    <t>замена лавочки</t>
  </si>
  <si>
    <t>замена насоса отопления; замена светового датчика</t>
  </si>
  <si>
    <t>замена вентилей; ремонт канализации</t>
  </si>
  <si>
    <t>ремонт цоколя</t>
  </si>
  <si>
    <t xml:space="preserve"> ОТЧЕТ </t>
  </si>
  <si>
    <t>по начислениям и выполненым работам за 2016 год по РЭУ "Зубово-Новощаово"</t>
  </si>
  <si>
    <t>общий долг  по жилому фонду на  01.01.2017</t>
  </si>
  <si>
    <t>задолженность ресурсникам (ХВС; ГВС; отопл.; мусор; канализ.; кап.и тек. ремонт; содержаниежилья до 2016 г.)</t>
  </si>
  <si>
    <t>работы выполненные рэу</t>
  </si>
  <si>
    <t>расходы по РЭУ (з/пл.; электроэнергия подъезды; автоуслуги; материалы)</t>
  </si>
  <si>
    <t>Всего по п. Зубово</t>
  </si>
  <si>
    <t>Всего по п. Новощапово</t>
  </si>
  <si>
    <t>задолженность по текущему ремонту и содержанию на 01.01.2017 год</t>
  </si>
  <si>
    <t xml:space="preserve"> 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</si>
</sst>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2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2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9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4" xfId="0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0" xfId="0" applyAlignment="1">
      <alignment vertical="center"/>
    </xf>
    <xf numFmtId="0" fontId="0" fillId="0" borderId="3" xfId="0" applyBorder="1"/>
    <xf numFmtId="4" fontId="1" fillId="0" borderId="19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4" fontId="6" fillId="0" borderId="1" xfId="0" applyNumberFormat="1" applyFont="1" applyBorder="1" applyAlignment="1">
      <alignment horizontal="left" wrapText="1"/>
    </xf>
    <xf numFmtId="4" fontId="2" fillId="0" borderId="1" xfId="0" applyNumberFormat="1" applyFont="1" applyFill="1" applyBorder="1" applyAlignment="1" applyProtection="1">
      <alignment horizontal="right" readingOrder="1"/>
    </xf>
    <xf numFmtId="4" fontId="2" fillId="0" borderId="2" xfId="0" applyNumberFormat="1" applyFont="1" applyFill="1" applyBorder="1" applyAlignment="1" applyProtection="1">
      <alignment horizontal="right" readingOrder="1"/>
    </xf>
    <xf numFmtId="4" fontId="5" fillId="0" borderId="1" xfId="0" applyNumberFormat="1" applyFont="1" applyBorder="1" applyAlignment="1">
      <alignment horizontal="left" wrapText="1"/>
    </xf>
    <xf numFmtId="1" fontId="0" fillId="0" borderId="0" xfId="0" applyNumberFormat="1"/>
    <xf numFmtId="0" fontId="1" fillId="0" borderId="0" xfId="0" applyFont="1"/>
    <xf numFmtId="4" fontId="1" fillId="0" borderId="19" xfId="0" applyNumberFormat="1" applyFont="1" applyBorder="1" applyAlignment="1">
      <alignment horizontal="center" vertical="center" wrapText="1"/>
    </xf>
    <xf numFmtId="4" fontId="7" fillId="0" borderId="2" xfId="0" applyNumberFormat="1" applyFont="1" applyFill="1" applyBorder="1" applyAlignment="1" applyProtection="1">
      <alignment horizontal="left" wrapText="1"/>
    </xf>
    <xf numFmtId="4" fontId="11" fillId="0" borderId="2" xfId="0" applyNumberFormat="1" applyFont="1" applyBorder="1" applyAlignment="1"/>
    <xf numFmtId="4" fontId="7" fillId="0" borderId="1" xfId="0" applyNumberFormat="1" applyFont="1" applyFill="1" applyBorder="1" applyAlignment="1" applyProtection="1">
      <alignment horizontal="left" wrapText="1"/>
    </xf>
    <xf numFmtId="4" fontId="11" fillId="0" borderId="1" xfId="0" applyNumberFormat="1" applyFont="1" applyBorder="1" applyAlignment="1"/>
    <xf numFmtId="4" fontId="5" fillId="0" borderId="1" xfId="0" applyNumberFormat="1" applyFont="1" applyBorder="1" applyAlignment="1"/>
    <xf numFmtId="4" fontId="0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wrapText="1"/>
    </xf>
    <xf numFmtId="4" fontId="0" fillId="0" borderId="1" xfId="0" applyNumberFormat="1" applyBorder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1" applyFont="1"/>
    <xf numFmtId="0" fontId="12" fillId="0" borderId="0" xfId="1"/>
    <xf numFmtId="0" fontId="7" fillId="0" borderId="20" xfId="1" applyNumberFormat="1" applyFont="1" applyFill="1" applyBorder="1" applyAlignment="1" applyProtection="1">
      <alignment horizontal="left" vertical="top" readingOrder="1"/>
    </xf>
    <xf numFmtId="0" fontId="8" fillId="0" borderId="21" xfId="1" applyNumberFormat="1" applyFont="1" applyFill="1" applyBorder="1" applyAlignment="1" applyProtection="1">
      <alignment horizontal="center" vertical="top" readingOrder="1"/>
    </xf>
    <xf numFmtId="0" fontId="8" fillId="0" borderId="23" xfId="1" applyNumberFormat="1" applyFont="1" applyFill="1" applyBorder="1" applyAlignment="1" applyProtection="1">
      <alignment horizontal="center" vertical="top" readingOrder="1"/>
    </xf>
    <xf numFmtId="0" fontId="13" fillId="0" borderId="1" xfId="1" applyFont="1" applyBorder="1"/>
    <xf numFmtId="2" fontId="12" fillId="0" borderId="1" xfId="2" applyNumberFormat="1" applyBorder="1"/>
    <xf numFmtId="0" fontId="2" fillId="0" borderId="21" xfId="1" applyNumberFormat="1" applyFont="1" applyFill="1" applyBorder="1" applyAlignment="1" applyProtection="1">
      <alignment horizontal="left" vertical="top" readingOrder="1"/>
    </xf>
    <xf numFmtId="4" fontId="2" fillId="0" borderId="21" xfId="1" applyNumberFormat="1" applyFont="1" applyFill="1" applyBorder="1" applyAlignment="1" applyProtection="1">
      <alignment horizontal="left" vertical="top" readingOrder="1"/>
    </xf>
    <xf numFmtId="4" fontId="2" fillId="0" borderId="23" xfId="1" applyNumberFormat="1" applyFont="1" applyFill="1" applyBorder="1" applyAlignment="1" applyProtection="1">
      <alignment horizontal="left" vertical="top" readingOrder="1"/>
    </xf>
    <xf numFmtId="0" fontId="9" fillId="0" borderId="21" xfId="1" applyNumberFormat="1" applyFont="1" applyFill="1" applyBorder="1" applyAlignment="1" applyProtection="1">
      <alignment horizontal="left" vertical="top" readingOrder="1"/>
    </xf>
    <xf numFmtId="4" fontId="8" fillId="0" borderId="21" xfId="1" applyNumberFormat="1" applyFont="1" applyFill="1" applyBorder="1" applyAlignment="1" applyProtection="1">
      <alignment horizontal="left" vertical="top" readingOrder="1"/>
    </xf>
    <xf numFmtId="4" fontId="8" fillId="0" borderId="23" xfId="1" applyNumberFormat="1" applyFont="1" applyFill="1" applyBorder="1" applyAlignment="1" applyProtection="1">
      <alignment horizontal="left" vertical="top" readingOrder="1"/>
    </xf>
    <xf numFmtId="2" fontId="13" fillId="0" borderId="1" xfId="2" applyNumberFormat="1" applyFont="1" applyBorder="1"/>
    <xf numFmtId="4" fontId="10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/>
    <xf numFmtId="164" fontId="0" fillId="0" borderId="0" xfId="0" applyNumberFormat="1"/>
    <xf numFmtId="164" fontId="0" fillId="0" borderId="2" xfId="0" applyNumberFormat="1" applyBorder="1"/>
    <xf numFmtId="4" fontId="5" fillId="0" borderId="1" xfId="0" applyNumberFormat="1" applyFont="1" applyBorder="1" applyAlignment="1">
      <alignment horizontal="right" wrapText="1"/>
    </xf>
    <xf numFmtId="4" fontId="16" fillId="0" borderId="0" xfId="0" applyNumberFormat="1" applyFont="1"/>
    <xf numFmtId="0" fontId="7" fillId="0" borderId="22" xfId="1" applyNumberFormat="1" applyFont="1" applyFill="1" applyBorder="1" applyAlignment="1" applyProtection="1">
      <alignment horizontal="left" vertical="top" readingOrder="1"/>
    </xf>
    <xf numFmtId="0" fontId="9" fillId="0" borderId="22" xfId="1" applyNumberFormat="1" applyFont="1" applyFill="1" applyBorder="1" applyAlignment="1" applyProtection="1">
      <alignment horizontal="left" vertical="top" readingOrder="1"/>
    </xf>
    <xf numFmtId="0" fontId="7" fillId="0" borderId="0" xfId="1" applyNumberFormat="1" applyFont="1" applyFill="1" applyBorder="1" applyAlignment="1" applyProtection="1">
      <alignment horizontal="right" vertical="top" readingOrder="1"/>
    </xf>
    <xf numFmtId="0" fontId="7" fillId="0" borderId="0" xfId="1" applyNumberFormat="1" applyFont="1" applyFill="1" applyBorder="1" applyAlignment="1" applyProtection="1">
      <alignment horizontal="center" vertical="center" wrapText="1" readingOrder="1"/>
    </xf>
    <xf numFmtId="0" fontId="7" fillId="0" borderId="20" xfId="1" applyNumberFormat="1" applyFont="1" applyFill="1" applyBorder="1" applyAlignment="1" applyProtection="1">
      <alignment horizontal="left" vertical="top" readingOrder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3">
    <cellStyle name="Обычный" xfId="0" builtinId="0"/>
    <cellStyle name="Обычный 3" xfId="2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59"/>
  <sheetViews>
    <sheetView tabSelected="1" topLeftCell="A927" workbookViewId="0">
      <selection activeCell="A727" sqref="A727:E976"/>
    </sheetView>
  </sheetViews>
  <sheetFormatPr defaultRowHeight="15"/>
  <cols>
    <col min="1" max="1" width="27.28515625" bestFit="1" customWidth="1"/>
    <col min="2" max="3" width="14.5703125" customWidth="1"/>
    <col min="4" max="4" width="16.140625" customWidth="1"/>
    <col min="5" max="5" width="11" customWidth="1"/>
    <col min="6" max="6" width="20.5703125" customWidth="1"/>
    <col min="7" max="7" width="11.42578125" bestFit="1" customWidth="1"/>
    <col min="8" max="8" width="13.7109375" customWidth="1"/>
  </cols>
  <sheetData>
    <row r="1" spans="1:8">
      <c r="A1" s="55" t="s">
        <v>26</v>
      </c>
      <c r="B1" s="55"/>
      <c r="C1" s="55"/>
      <c r="D1" s="55"/>
      <c r="E1" s="33"/>
    </row>
    <row r="2" spans="1:8">
      <c r="A2" s="56" t="s">
        <v>27</v>
      </c>
      <c r="B2" s="56"/>
      <c r="C2" s="56"/>
      <c r="D2" s="56"/>
      <c r="E2" s="34"/>
    </row>
    <row r="3" spans="1:8" ht="15" customHeight="1">
      <c r="A3" s="56" t="s">
        <v>88</v>
      </c>
      <c r="B3" s="56"/>
      <c r="C3" s="56"/>
      <c r="D3" s="56"/>
      <c r="E3" s="34"/>
    </row>
    <row r="4" spans="1:8">
      <c r="A4" s="35" t="s">
        <v>89</v>
      </c>
      <c r="B4" s="57"/>
      <c r="C4" s="57"/>
      <c r="D4" s="57"/>
      <c r="E4" s="34"/>
    </row>
    <row r="5" spans="1:8">
      <c r="A5" s="36" t="s">
        <v>28</v>
      </c>
      <c r="B5" s="36" t="s">
        <v>29</v>
      </c>
      <c r="C5" s="36" t="s">
        <v>30</v>
      </c>
      <c r="D5" s="37" t="s">
        <v>31</v>
      </c>
      <c r="E5" s="38" t="s">
        <v>90</v>
      </c>
      <c r="G5" s="5">
        <f>B10+B23+B32+B41+B58+B76+B90+B111+B125+B144+B149+B165+B193+B199+B222+B237+B248+B270+B275+B293+B314+B320+B344+B353+B377+B400+B412+B432+B446+B456+B461+B476+B506+B513+B551+B568+B582+B614+B627+B650+B677+B698+B714+B729+B765+B776+B801+B817+B835+B853+B874+B907+B922+B947+B972+B985+B1010+B1021+B1044+B1073+B1097+B1115+B1134+B1153+B1182+B1195+B1216+B1242+B1272+B1281+B1308+B1328+B1353</f>
        <v>4891107.07</v>
      </c>
      <c r="H5" s="5">
        <f>C10+C23+C32+C41+C58+C76+C90+C111+C125+C144+C149+C165+C193+C199+C222+C237+C248+C270+C275+C293+C314+C320+C344+C353+C377+C400+C412+C432+C446+C456+C461+C476+C506+C513+C551+C568+C582+C614+C627+C650+C677+C698+C714+C729+C765+C776+C801+C817+C835+C853+C874+C907+C922+C947+C972+C985+C1010+C1021+C1044+C1073+C1097+C1115+C1134+C1153+C1182+C1195+C1216+C1242+C1272+C1281+C1308+C1328+C1353</f>
        <v>4951964.459999999</v>
      </c>
    </row>
    <row r="6" spans="1:8">
      <c r="A6" s="54" t="s">
        <v>91</v>
      </c>
      <c r="B6" s="54"/>
      <c r="C6" s="54"/>
      <c r="D6" s="54"/>
      <c r="E6" s="39"/>
    </row>
    <row r="7" spans="1:8">
      <c r="A7" s="40" t="s">
        <v>44</v>
      </c>
      <c r="B7" s="41">
        <v>0</v>
      </c>
      <c r="C7" s="41">
        <v>0</v>
      </c>
      <c r="D7" s="42">
        <v>883.38</v>
      </c>
      <c r="E7" s="39"/>
    </row>
    <row r="8" spans="1:8">
      <c r="A8" s="40" t="s">
        <v>36</v>
      </c>
      <c r="B8" s="41">
        <v>0</v>
      </c>
      <c r="C8" s="41">
        <v>0</v>
      </c>
      <c r="D8" s="42">
        <v>881.67</v>
      </c>
      <c r="E8" s="39"/>
    </row>
    <row r="9" spans="1:8">
      <c r="A9" s="40" t="s">
        <v>34</v>
      </c>
      <c r="B9" s="41">
        <v>0</v>
      </c>
      <c r="C9" s="41">
        <v>0</v>
      </c>
      <c r="D9" s="42">
        <v>10212.6</v>
      </c>
      <c r="E9" s="39"/>
    </row>
    <row r="10" spans="1:8">
      <c r="A10" s="40" t="s">
        <v>33</v>
      </c>
      <c r="B10" s="41">
        <v>0</v>
      </c>
      <c r="C10" s="41">
        <v>0</v>
      </c>
      <c r="D10" s="42">
        <v>903.8</v>
      </c>
      <c r="E10" s="39"/>
    </row>
    <row r="11" spans="1:8">
      <c r="A11" s="40" t="s">
        <v>42</v>
      </c>
      <c r="B11" s="41">
        <v>0</v>
      </c>
      <c r="C11" s="41">
        <v>0</v>
      </c>
      <c r="D11" s="42">
        <v>2653.56</v>
      </c>
      <c r="E11" s="39"/>
    </row>
    <row r="12" spans="1:8">
      <c r="A12" s="43" t="s">
        <v>45</v>
      </c>
      <c r="B12" s="44">
        <v>0</v>
      </c>
      <c r="C12" s="44">
        <v>0</v>
      </c>
      <c r="D12" s="45">
        <v>15535.01</v>
      </c>
      <c r="E12" s="46"/>
    </row>
    <row r="13" spans="1:8">
      <c r="A13" s="54" t="s">
        <v>92</v>
      </c>
      <c r="B13" s="54"/>
      <c r="C13" s="54"/>
      <c r="D13" s="54"/>
      <c r="E13" s="39"/>
    </row>
    <row r="14" spans="1:8">
      <c r="A14" s="40" t="s">
        <v>43</v>
      </c>
      <c r="B14" s="41">
        <v>1227</v>
      </c>
      <c r="C14" s="41">
        <v>1114.3699999999999</v>
      </c>
      <c r="D14" s="42">
        <v>211.42</v>
      </c>
      <c r="E14" s="39">
        <f>C14/B14*100</f>
        <v>90.820700896495509</v>
      </c>
    </row>
    <row r="15" spans="1:8">
      <c r="A15" s="40" t="s">
        <v>37</v>
      </c>
      <c r="B15" s="41">
        <v>512.88</v>
      </c>
      <c r="C15" s="41">
        <v>467.86</v>
      </c>
      <c r="D15" s="42">
        <v>87</v>
      </c>
      <c r="E15" s="39">
        <f>C15/B15*100</f>
        <v>91.222118234284821</v>
      </c>
    </row>
    <row r="16" spans="1:8">
      <c r="A16" s="40" t="s">
        <v>44</v>
      </c>
      <c r="B16" s="41">
        <v>0</v>
      </c>
      <c r="C16" s="41">
        <v>-661.2</v>
      </c>
      <c r="D16" s="42">
        <v>0</v>
      </c>
      <c r="E16" s="39"/>
    </row>
    <row r="17" spans="1:5">
      <c r="A17" s="40" t="s">
        <v>36</v>
      </c>
      <c r="B17" s="41">
        <v>4176</v>
      </c>
      <c r="C17" s="41">
        <v>4117.38</v>
      </c>
      <c r="D17" s="42">
        <v>719.31</v>
      </c>
      <c r="E17" s="39">
        <f>C17/B17*100</f>
        <v>98.596264367816104</v>
      </c>
    </row>
    <row r="18" spans="1:5">
      <c r="A18" s="40" t="s">
        <v>34</v>
      </c>
      <c r="B18" s="41">
        <v>0</v>
      </c>
      <c r="C18" s="41">
        <v>0</v>
      </c>
      <c r="D18" s="42">
        <v>0</v>
      </c>
      <c r="E18" s="39"/>
    </row>
    <row r="19" spans="1:5">
      <c r="A19" s="40" t="s">
        <v>48</v>
      </c>
      <c r="B19" s="41">
        <v>1469.28</v>
      </c>
      <c r="C19" s="41">
        <v>1334.42</v>
      </c>
      <c r="D19" s="42">
        <v>253.16</v>
      </c>
      <c r="E19" s="39">
        <f t="shared" ref="E19:E24" si="0">C19/B19*100</f>
        <v>90.821354677120766</v>
      </c>
    </row>
    <row r="20" spans="1:5">
      <c r="A20" s="40" t="s">
        <v>38</v>
      </c>
      <c r="B20" s="41">
        <v>194.82</v>
      </c>
      <c r="C20" s="41">
        <v>177.64</v>
      </c>
      <c r="D20" s="42">
        <v>33.1</v>
      </c>
      <c r="E20" s="39">
        <f t="shared" si="0"/>
        <v>91.181603531464944</v>
      </c>
    </row>
    <row r="21" spans="1:5">
      <c r="A21" s="40" t="s">
        <v>40</v>
      </c>
      <c r="B21" s="41">
        <v>5776.8</v>
      </c>
      <c r="C21" s="41">
        <v>5266.4</v>
      </c>
      <c r="D21" s="42">
        <v>962.8</v>
      </c>
      <c r="E21" s="39">
        <f t="shared" si="0"/>
        <v>91.164658634538142</v>
      </c>
    </row>
    <row r="22" spans="1:5">
      <c r="A22" s="40" t="s">
        <v>49</v>
      </c>
      <c r="B22" s="41">
        <v>319.44</v>
      </c>
      <c r="C22" s="41">
        <v>290.12</v>
      </c>
      <c r="D22" s="42">
        <v>55.04</v>
      </c>
      <c r="E22" s="39">
        <f t="shared" si="0"/>
        <v>90.821437515652391</v>
      </c>
    </row>
    <row r="23" spans="1:5">
      <c r="A23" s="40" t="s">
        <v>33</v>
      </c>
      <c r="B23" s="41">
        <v>4377.84</v>
      </c>
      <c r="C23" s="41">
        <v>4311.76</v>
      </c>
      <c r="D23" s="42">
        <v>755.05</v>
      </c>
      <c r="E23" s="39">
        <f t="shared" si="0"/>
        <v>98.490579829322229</v>
      </c>
    </row>
    <row r="24" spans="1:5">
      <c r="A24" s="43" t="s">
        <v>45</v>
      </c>
      <c r="B24" s="44">
        <v>18054.060000000001</v>
      </c>
      <c r="C24" s="44">
        <v>16418.75</v>
      </c>
      <c r="D24" s="45">
        <v>3076.88</v>
      </c>
      <c r="E24" s="46">
        <f t="shared" si="0"/>
        <v>90.942148192705673</v>
      </c>
    </row>
    <row r="25" spans="1:5">
      <c r="A25" s="54" t="s">
        <v>93</v>
      </c>
      <c r="B25" s="54"/>
      <c r="C25" s="54"/>
      <c r="D25" s="54"/>
      <c r="E25" s="39"/>
    </row>
    <row r="26" spans="1:5">
      <c r="A26" s="40" t="s">
        <v>37</v>
      </c>
      <c r="B26" s="41">
        <v>12198.79</v>
      </c>
      <c r="C26" s="41">
        <v>16259.75</v>
      </c>
      <c r="D26" s="42">
        <v>2807.98</v>
      </c>
      <c r="E26" s="39">
        <f>C26/B26*100</f>
        <v>133.28985907618704</v>
      </c>
    </row>
    <row r="27" spans="1:5">
      <c r="A27" s="40" t="s">
        <v>43</v>
      </c>
      <c r="B27" s="41">
        <v>3837.58</v>
      </c>
      <c r="C27" s="41">
        <v>5098.79</v>
      </c>
      <c r="D27" s="42">
        <v>893.59</v>
      </c>
      <c r="E27" s="39">
        <f>C27/B27*100</f>
        <v>132.86472203836792</v>
      </c>
    </row>
    <row r="28" spans="1:5">
      <c r="A28" s="40" t="s">
        <v>41</v>
      </c>
      <c r="B28" s="41">
        <v>11767.46</v>
      </c>
      <c r="C28" s="41">
        <v>15629.1</v>
      </c>
      <c r="D28" s="42">
        <v>2721.34</v>
      </c>
      <c r="E28" s="39">
        <f>C28/B28*100</f>
        <v>132.81625771406914</v>
      </c>
    </row>
    <row r="29" spans="1:5">
      <c r="A29" s="40" t="s">
        <v>44</v>
      </c>
      <c r="B29" s="41">
        <v>0</v>
      </c>
      <c r="C29" s="41">
        <v>1358.19</v>
      </c>
      <c r="D29" s="42">
        <v>1.43</v>
      </c>
      <c r="E29" s="39"/>
    </row>
    <row r="30" spans="1:5">
      <c r="A30" s="40" t="s">
        <v>36</v>
      </c>
      <c r="B30" s="41">
        <v>16522.080000000002</v>
      </c>
      <c r="C30" s="41">
        <v>19282.3</v>
      </c>
      <c r="D30" s="42">
        <v>2725.01</v>
      </c>
      <c r="E30" s="39">
        <f>C30/B30*100</f>
        <v>116.70625006052504</v>
      </c>
    </row>
    <row r="31" spans="1:5">
      <c r="A31" s="40" t="s">
        <v>38</v>
      </c>
      <c r="B31" s="41">
        <v>609.66999999999996</v>
      </c>
      <c r="C31" s="41">
        <v>800.77</v>
      </c>
      <c r="D31" s="42">
        <v>140.51</v>
      </c>
      <c r="E31" s="39">
        <f>C31/B31*100</f>
        <v>131.34482588941557</v>
      </c>
    </row>
    <row r="32" spans="1:5">
      <c r="A32" s="40" t="s">
        <v>33</v>
      </c>
      <c r="B32" s="41">
        <v>17326.38</v>
      </c>
      <c r="C32" s="41">
        <v>19296.79</v>
      </c>
      <c r="D32" s="42">
        <v>2861.67</v>
      </c>
      <c r="E32" s="39">
        <f>C32/B32*100</f>
        <v>111.3723120467172</v>
      </c>
    </row>
    <row r="33" spans="1:5">
      <c r="A33" s="40" t="s">
        <v>40</v>
      </c>
      <c r="B33" s="41">
        <v>8884.32</v>
      </c>
      <c r="C33" s="41">
        <v>11883.81</v>
      </c>
      <c r="D33" s="42">
        <v>2046.3</v>
      </c>
      <c r="E33" s="39">
        <f>C33/B33*100</f>
        <v>133.76161597060889</v>
      </c>
    </row>
    <row r="34" spans="1:5">
      <c r="A34" s="40" t="s">
        <v>42</v>
      </c>
      <c r="B34" s="41">
        <v>7808.64</v>
      </c>
      <c r="C34" s="41">
        <v>7769.44</v>
      </c>
      <c r="D34" s="42">
        <v>650.72</v>
      </c>
      <c r="E34" s="39">
        <f>C34/B34*100</f>
        <v>99.497991967871485</v>
      </c>
    </row>
    <row r="35" spans="1:5">
      <c r="A35" s="40" t="s">
        <v>34</v>
      </c>
      <c r="B35" s="41">
        <v>0</v>
      </c>
      <c r="C35" s="41">
        <v>23114.87</v>
      </c>
      <c r="D35" s="42">
        <v>0</v>
      </c>
      <c r="E35" s="39"/>
    </row>
    <row r="36" spans="1:5">
      <c r="A36" s="43" t="s">
        <v>45</v>
      </c>
      <c r="B36" s="44">
        <v>78954.92</v>
      </c>
      <c r="C36" s="44">
        <v>120493.81</v>
      </c>
      <c r="D36" s="45">
        <v>14848.55</v>
      </c>
      <c r="E36" s="46">
        <f>C36/B36*100</f>
        <v>152.61089492586402</v>
      </c>
    </row>
    <row r="37" spans="1:5">
      <c r="A37" s="54" t="s">
        <v>94</v>
      </c>
      <c r="B37" s="54"/>
      <c r="C37" s="54"/>
      <c r="D37" s="54"/>
      <c r="E37" s="39"/>
    </row>
    <row r="38" spans="1:5">
      <c r="A38" s="40" t="s">
        <v>34</v>
      </c>
      <c r="B38" s="41">
        <v>0</v>
      </c>
      <c r="C38" s="41">
        <v>0</v>
      </c>
      <c r="D38" s="42">
        <v>0</v>
      </c>
      <c r="E38" s="39"/>
    </row>
    <row r="39" spans="1:5">
      <c r="A39" s="40" t="s">
        <v>37</v>
      </c>
      <c r="B39" s="41">
        <v>314.85000000000002</v>
      </c>
      <c r="C39" s="41">
        <v>765.05</v>
      </c>
      <c r="D39" s="42">
        <v>-387.23</v>
      </c>
      <c r="E39" s="39">
        <f>C39/B39*100</f>
        <v>242.98872478958228</v>
      </c>
    </row>
    <row r="40" spans="1:5">
      <c r="A40" s="40" t="s">
        <v>44</v>
      </c>
      <c r="B40" s="41">
        <v>0</v>
      </c>
      <c r="C40" s="41">
        <v>-1909.06</v>
      </c>
      <c r="D40" s="42">
        <v>0</v>
      </c>
      <c r="E40" s="39"/>
    </row>
    <row r="41" spans="1:5">
      <c r="A41" s="40" t="s">
        <v>33</v>
      </c>
      <c r="B41" s="41">
        <v>3004.65</v>
      </c>
      <c r="C41" s="41">
        <v>5782.09</v>
      </c>
      <c r="D41" s="42">
        <v>-759.11</v>
      </c>
      <c r="E41" s="39">
        <f>C41/B41*100</f>
        <v>192.43805434909225</v>
      </c>
    </row>
    <row r="42" spans="1:5">
      <c r="A42" s="40" t="s">
        <v>38</v>
      </c>
      <c r="B42" s="41">
        <v>119.4</v>
      </c>
      <c r="C42" s="41">
        <v>544.94000000000005</v>
      </c>
      <c r="D42" s="42">
        <v>-401.66</v>
      </c>
      <c r="E42" s="39">
        <f>C42/B42*100</f>
        <v>456.39865996649922</v>
      </c>
    </row>
    <row r="43" spans="1:5">
      <c r="A43" s="40" t="s">
        <v>36</v>
      </c>
      <c r="B43" s="41">
        <v>2871</v>
      </c>
      <c r="C43" s="41">
        <v>9035.74</v>
      </c>
      <c r="D43" s="42">
        <v>-3795.56</v>
      </c>
      <c r="E43" s="39">
        <f>C43/B43*100</f>
        <v>314.72448624172762</v>
      </c>
    </row>
    <row r="44" spans="1:5">
      <c r="A44" s="40" t="s">
        <v>43</v>
      </c>
      <c r="B44" s="41">
        <v>740.95</v>
      </c>
      <c r="C44" s="41">
        <v>1545.58</v>
      </c>
      <c r="D44" s="42">
        <v>-656.44</v>
      </c>
      <c r="E44" s="39">
        <f>C44/B44*100</f>
        <v>208.59437208988459</v>
      </c>
    </row>
    <row r="45" spans="1:5">
      <c r="A45" s="43" t="s">
        <v>45</v>
      </c>
      <c r="B45" s="44">
        <v>7050.85</v>
      </c>
      <c r="C45" s="44">
        <v>15764.34</v>
      </c>
      <c r="D45" s="45">
        <v>-6000</v>
      </c>
      <c r="E45" s="46">
        <f>C45/B45*100</f>
        <v>223.58070303580416</v>
      </c>
    </row>
    <row r="46" spans="1:5">
      <c r="A46" s="54" t="s">
        <v>95</v>
      </c>
      <c r="B46" s="54"/>
      <c r="C46" s="54"/>
      <c r="D46" s="54"/>
      <c r="E46" s="39"/>
    </row>
    <row r="47" spans="1:5">
      <c r="A47" s="40" t="s">
        <v>38</v>
      </c>
      <c r="B47" s="41">
        <v>0</v>
      </c>
      <c r="C47" s="41">
        <v>0</v>
      </c>
      <c r="D47" s="42">
        <v>-2.74</v>
      </c>
      <c r="E47" s="39"/>
    </row>
    <row r="48" spans="1:5">
      <c r="A48" s="53" t="s">
        <v>96</v>
      </c>
      <c r="B48" s="53"/>
      <c r="C48" s="53"/>
      <c r="D48" s="53"/>
      <c r="E48" s="39"/>
    </row>
    <row r="49" spans="1:5">
      <c r="A49" s="36" t="s">
        <v>28</v>
      </c>
      <c r="B49" s="36" t="s">
        <v>29</v>
      </c>
      <c r="C49" s="36" t="s">
        <v>30</v>
      </c>
      <c r="D49" s="37" t="s">
        <v>31</v>
      </c>
      <c r="E49" s="39"/>
    </row>
    <row r="50" spans="1:5">
      <c r="A50" s="40" t="s">
        <v>43</v>
      </c>
      <c r="B50" s="41">
        <v>0</v>
      </c>
      <c r="C50" s="41">
        <v>0</v>
      </c>
      <c r="D50" s="42">
        <v>-18.68</v>
      </c>
      <c r="E50" s="39"/>
    </row>
    <row r="51" spans="1:5">
      <c r="A51" s="40" t="s">
        <v>37</v>
      </c>
      <c r="B51" s="41">
        <v>0</v>
      </c>
      <c r="C51" s="41">
        <v>0</v>
      </c>
      <c r="D51" s="42">
        <v>-28.34</v>
      </c>
      <c r="E51" s="39"/>
    </row>
    <row r="52" spans="1:5">
      <c r="A52" s="40" t="s">
        <v>42</v>
      </c>
      <c r="B52" s="41">
        <v>0</v>
      </c>
      <c r="C52" s="41">
        <v>0</v>
      </c>
      <c r="D52" s="42">
        <v>-515.13</v>
      </c>
      <c r="E52" s="39"/>
    </row>
    <row r="53" spans="1:5">
      <c r="A53" s="43" t="s">
        <v>45</v>
      </c>
      <c r="B53" s="44">
        <v>0</v>
      </c>
      <c r="C53" s="44">
        <v>0</v>
      </c>
      <c r="D53" s="45">
        <v>-564.89</v>
      </c>
      <c r="E53" s="46"/>
    </row>
    <row r="54" spans="1:5">
      <c r="A54" s="54" t="s">
        <v>97</v>
      </c>
      <c r="B54" s="54"/>
      <c r="C54" s="54"/>
      <c r="D54" s="54"/>
      <c r="E54" s="39"/>
    </row>
    <row r="55" spans="1:5">
      <c r="A55" s="40" t="s">
        <v>34</v>
      </c>
      <c r="B55" s="41">
        <v>0</v>
      </c>
      <c r="C55" s="41">
        <v>0</v>
      </c>
      <c r="D55" s="42">
        <v>7742.49</v>
      </c>
      <c r="E55" s="39"/>
    </row>
    <row r="56" spans="1:5">
      <c r="A56" s="43" t="s">
        <v>45</v>
      </c>
      <c r="B56" s="44">
        <v>0</v>
      </c>
      <c r="C56" s="44">
        <v>0</v>
      </c>
      <c r="D56" s="45">
        <v>7742.49</v>
      </c>
      <c r="E56" s="46"/>
    </row>
    <row r="57" spans="1:5">
      <c r="A57" s="54" t="s">
        <v>98</v>
      </c>
      <c r="B57" s="54"/>
      <c r="C57" s="54"/>
      <c r="D57" s="54"/>
      <c r="E57" s="39"/>
    </row>
    <row r="58" spans="1:5">
      <c r="A58" s="40" t="s">
        <v>33</v>
      </c>
      <c r="B58" s="41">
        <v>27394.2</v>
      </c>
      <c r="C58" s="41">
        <v>21843.06</v>
      </c>
      <c r="D58" s="42">
        <v>18087.349999999999</v>
      </c>
      <c r="E58" s="39">
        <f>C58/B58*100</f>
        <v>79.736075519635534</v>
      </c>
    </row>
    <row r="59" spans="1:5">
      <c r="A59" s="40" t="s">
        <v>44</v>
      </c>
      <c r="B59" s="41">
        <v>0</v>
      </c>
      <c r="C59" s="41">
        <v>-639.36</v>
      </c>
      <c r="D59" s="42">
        <v>3592.21</v>
      </c>
      <c r="E59" s="39"/>
    </row>
    <row r="60" spans="1:5">
      <c r="A60" s="40" t="s">
        <v>35</v>
      </c>
      <c r="B60" s="41">
        <v>206929.32</v>
      </c>
      <c r="C60" s="41">
        <v>170939.61</v>
      </c>
      <c r="D60" s="42">
        <v>133555.18</v>
      </c>
      <c r="E60" s="39">
        <f>C60/B60*100</f>
        <v>82.607728088025411</v>
      </c>
    </row>
    <row r="61" spans="1:5">
      <c r="A61" s="40" t="s">
        <v>43</v>
      </c>
      <c r="B61" s="41">
        <v>15802.24</v>
      </c>
      <c r="C61" s="41">
        <v>11116.26</v>
      </c>
      <c r="D61" s="42">
        <v>12512.29</v>
      </c>
      <c r="E61" s="39">
        <f>C61/B61*100</f>
        <v>70.346102830991057</v>
      </c>
    </row>
    <row r="62" spans="1:5">
      <c r="A62" s="40" t="s">
        <v>41</v>
      </c>
      <c r="B62" s="41">
        <v>29057.26</v>
      </c>
      <c r="C62" s="41">
        <v>20434.689999999999</v>
      </c>
      <c r="D62" s="42">
        <v>19940.78</v>
      </c>
      <c r="E62" s="39">
        <f>C62/B62*100</f>
        <v>70.32559160774278</v>
      </c>
    </row>
    <row r="63" spans="1:5">
      <c r="A63" s="40" t="s">
        <v>42</v>
      </c>
      <c r="B63" s="41">
        <v>23047.439999999999</v>
      </c>
      <c r="C63" s="41">
        <v>21981.79</v>
      </c>
      <c r="D63" s="42">
        <v>7840.53</v>
      </c>
      <c r="E63" s="39">
        <f>C63/B63*100</f>
        <v>95.376276063632233</v>
      </c>
    </row>
    <row r="64" spans="1:5">
      <c r="A64" s="40" t="s">
        <v>39</v>
      </c>
      <c r="B64" s="41">
        <v>0</v>
      </c>
      <c r="C64" s="41">
        <v>384.5</v>
      </c>
      <c r="D64" s="42">
        <v>-840.37</v>
      </c>
      <c r="E64" s="39"/>
    </row>
    <row r="65" spans="1:5">
      <c r="A65" s="40" t="s">
        <v>37</v>
      </c>
      <c r="B65" s="41">
        <v>30112.7</v>
      </c>
      <c r="C65" s="41">
        <v>21217.15</v>
      </c>
      <c r="D65" s="42">
        <v>20705.009999999998</v>
      </c>
      <c r="E65" s="39">
        <f>C65/B65*100</f>
        <v>70.459141823881623</v>
      </c>
    </row>
    <row r="66" spans="1:5">
      <c r="A66" s="40" t="s">
        <v>38</v>
      </c>
      <c r="B66" s="41">
        <v>2508.7199999999998</v>
      </c>
      <c r="C66" s="41">
        <v>1753.02</v>
      </c>
      <c r="D66" s="42">
        <v>1956.83</v>
      </c>
      <c r="E66" s="39">
        <f>C66/B66*100</f>
        <v>69.877068784081132</v>
      </c>
    </row>
    <row r="67" spans="1:5">
      <c r="A67" s="40" t="s">
        <v>40</v>
      </c>
      <c r="B67" s="41">
        <v>9392.2800000000007</v>
      </c>
      <c r="C67" s="41">
        <v>0</v>
      </c>
      <c r="D67" s="42">
        <v>17483.22</v>
      </c>
      <c r="E67" s="39">
        <f>C67/B67*100</f>
        <v>0</v>
      </c>
    </row>
    <row r="68" spans="1:5">
      <c r="A68" s="40" t="s">
        <v>36</v>
      </c>
      <c r="B68" s="41">
        <v>26121.48</v>
      </c>
      <c r="C68" s="41">
        <v>20888.78</v>
      </c>
      <c r="D68" s="42">
        <v>17309.13</v>
      </c>
      <c r="E68" s="39">
        <f>C68/B68*100</f>
        <v>79.967827244091822</v>
      </c>
    </row>
    <row r="69" spans="1:5">
      <c r="A69" s="40" t="s">
        <v>34</v>
      </c>
      <c r="B69" s="41">
        <v>0</v>
      </c>
      <c r="C69" s="41">
        <v>44198.31</v>
      </c>
      <c r="D69" s="42">
        <v>265602.42</v>
      </c>
      <c r="E69" s="39"/>
    </row>
    <row r="70" spans="1:5">
      <c r="A70" s="40" t="s">
        <v>32</v>
      </c>
      <c r="B70" s="41">
        <v>31350.3</v>
      </c>
      <c r="C70" s="41">
        <v>24947.97</v>
      </c>
      <c r="D70" s="42">
        <v>20630.03</v>
      </c>
      <c r="E70" s="39">
        <f>C70/B70*100</f>
        <v>79.578090161816633</v>
      </c>
    </row>
    <row r="71" spans="1:5">
      <c r="A71" s="43" t="s">
        <v>45</v>
      </c>
      <c r="B71" s="44">
        <v>401715.94</v>
      </c>
      <c r="C71" s="44">
        <v>359065.78</v>
      </c>
      <c r="D71" s="45">
        <v>538374.61</v>
      </c>
      <c r="E71" s="46">
        <f>C71/B71*100</f>
        <v>89.383005314650958</v>
      </c>
    </row>
    <row r="72" spans="1:5">
      <c r="A72" s="54" t="s">
        <v>99</v>
      </c>
      <c r="B72" s="54"/>
      <c r="C72" s="54"/>
      <c r="D72" s="54"/>
      <c r="E72" s="39"/>
    </row>
    <row r="73" spans="1:5">
      <c r="A73" s="40" t="s">
        <v>40</v>
      </c>
      <c r="B73" s="41">
        <v>1489.08</v>
      </c>
      <c r="C73" s="41">
        <v>1482.08</v>
      </c>
      <c r="D73" s="42">
        <v>124.09</v>
      </c>
      <c r="E73" s="39">
        <f t="shared" ref="E73:E79" si="1">C73/B73*100</f>
        <v>99.529911086039704</v>
      </c>
    </row>
    <row r="74" spans="1:5">
      <c r="A74" s="40" t="s">
        <v>38</v>
      </c>
      <c r="B74" s="41">
        <v>1167.3</v>
      </c>
      <c r="C74" s="41">
        <v>1181.17</v>
      </c>
      <c r="D74" s="42">
        <v>116.77</v>
      </c>
      <c r="E74" s="39">
        <f t="shared" si="1"/>
        <v>101.18821211342414</v>
      </c>
    </row>
    <row r="75" spans="1:5">
      <c r="A75" s="40" t="s">
        <v>36</v>
      </c>
      <c r="B75" s="41">
        <v>26052.42</v>
      </c>
      <c r="C75" s="41">
        <v>27788.16</v>
      </c>
      <c r="D75" s="42">
        <v>3166.07</v>
      </c>
      <c r="E75" s="39">
        <f t="shared" si="1"/>
        <v>106.66249047113475</v>
      </c>
    </row>
    <row r="76" spans="1:5">
      <c r="A76" s="40" t="s">
        <v>33</v>
      </c>
      <c r="B76" s="41">
        <v>27322.02</v>
      </c>
      <c r="C76" s="41">
        <v>29106.63</v>
      </c>
      <c r="D76" s="42">
        <v>3324.34</v>
      </c>
      <c r="E76" s="39">
        <f t="shared" si="1"/>
        <v>106.53176448886283</v>
      </c>
    </row>
    <row r="77" spans="1:5">
      <c r="A77" s="40" t="s">
        <v>35</v>
      </c>
      <c r="B77" s="41">
        <v>206383.2</v>
      </c>
      <c r="C77" s="41">
        <v>205158.67</v>
      </c>
      <c r="D77" s="42">
        <v>21817.45</v>
      </c>
      <c r="E77" s="39">
        <f t="shared" si="1"/>
        <v>99.406671667073681</v>
      </c>
    </row>
    <row r="78" spans="1:5">
      <c r="A78" s="40" t="s">
        <v>32</v>
      </c>
      <c r="B78" s="41">
        <v>31267.56</v>
      </c>
      <c r="C78" s="41">
        <v>33284.839999999997</v>
      </c>
      <c r="D78" s="42">
        <v>3803.37</v>
      </c>
      <c r="E78" s="39">
        <f t="shared" si="1"/>
        <v>106.45167067721304</v>
      </c>
    </row>
    <row r="79" spans="1:5">
      <c r="A79" s="40" t="s">
        <v>42</v>
      </c>
      <c r="B79" s="41">
        <v>36149.879999999997</v>
      </c>
      <c r="C79" s="41">
        <v>35773.39</v>
      </c>
      <c r="D79" s="42">
        <v>3802.42</v>
      </c>
      <c r="E79" s="39">
        <f t="shared" si="1"/>
        <v>98.958530429423291</v>
      </c>
    </row>
    <row r="80" spans="1:5">
      <c r="A80" s="40" t="s">
        <v>44</v>
      </c>
      <c r="B80" s="41">
        <v>0</v>
      </c>
      <c r="C80" s="41">
        <v>-6279.3</v>
      </c>
      <c r="D80" s="42">
        <v>0.11</v>
      </c>
      <c r="E80" s="39"/>
    </row>
    <row r="81" spans="1:5">
      <c r="A81" s="40" t="s">
        <v>37</v>
      </c>
      <c r="B81" s="41">
        <v>14010.65</v>
      </c>
      <c r="C81" s="41">
        <v>14183.36</v>
      </c>
      <c r="D81" s="42">
        <v>1352.41</v>
      </c>
      <c r="E81" s="39">
        <f>C81/B81*100</f>
        <v>101.23270512074744</v>
      </c>
    </row>
    <row r="82" spans="1:5">
      <c r="A82" s="40" t="s">
        <v>34</v>
      </c>
      <c r="B82" s="41">
        <v>0</v>
      </c>
      <c r="C82" s="41">
        <v>-76.02</v>
      </c>
      <c r="D82" s="42">
        <v>0</v>
      </c>
      <c r="E82" s="39"/>
    </row>
    <row r="83" spans="1:5">
      <c r="A83" s="40" t="s">
        <v>39</v>
      </c>
      <c r="B83" s="41">
        <v>0</v>
      </c>
      <c r="C83" s="41">
        <v>409.48</v>
      </c>
      <c r="D83" s="42">
        <v>-1274.78</v>
      </c>
      <c r="E83" s="39"/>
    </row>
    <row r="84" spans="1:5">
      <c r="A84" s="40" t="s">
        <v>43</v>
      </c>
      <c r="B84" s="41">
        <v>7351.26</v>
      </c>
      <c r="C84" s="41">
        <v>7420.53</v>
      </c>
      <c r="D84" s="42">
        <v>735.44</v>
      </c>
      <c r="E84" s="39">
        <f>C84/B84*100</f>
        <v>100.94228744460132</v>
      </c>
    </row>
    <row r="85" spans="1:5">
      <c r="A85" s="40" t="s">
        <v>41</v>
      </c>
      <c r="B85" s="41">
        <v>13519.36</v>
      </c>
      <c r="C85" s="41">
        <v>13670.12</v>
      </c>
      <c r="D85" s="42">
        <v>1231.98</v>
      </c>
      <c r="E85" s="39">
        <f>C85/B85*100</f>
        <v>101.1151415451619</v>
      </c>
    </row>
    <row r="86" spans="1:5">
      <c r="A86" s="43" t="s">
        <v>45</v>
      </c>
      <c r="B86" s="44">
        <v>364712.73</v>
      </c>
      <c r="C86" s="44">
        <v>363103.11</v>
      </c>
      <c r="D86" s="45">
        <v>38199.67</v>
      </c>
      <c r="E86" s="46">
        <f>C86/B86*100</f>
        <v>99.558660867143303</v>
      </c>
    </row>
    <row r="87" spans="1:5">
      <c r="A87" s="54" t="s">
        <v>100</v>
      </c>
      <c r="B87" s="54"/>
      <c r="C87" s="54"/>
      <c r="D87" s="54"/>
      <c r="E87" s="39"/>
    </row>
    <row r="88" spans="1:5">
      <c r="A88" s="40" t="s">
        <v>41</v>
      </c>
      <c r="B88" s="41">
        <v>21952.47</v>
      </c>
      <c r="C88" s="41">
        <v>23632.89</v>
      </c>
      <c r="D88" s="42">
        <v>2141.91</v>
      </c>
      <c r="E88" s="39">
        <f t="shared" ref="E88:E94" si="2">C88/B88*100</f>
        <v>107.65481059762294</v>
      </c>
    </row>
    <row r="89" spans="1:5">
      <c r="A89" s="40" t="s">
        <v>37</v>
      </c>
      <c r="B89" s="41">
        <v>22746.959999999999</v>
      </c>
      <c r="C89" s="41">
        <v>24528.02</v>
      </c>
      <c r="D89" s="42">
        <v>2206.9</v>
      </c>
      <c r="E89" s="39">
        <f t="shared" si="2"/>
        <v>107.82988144349839</v>
      </c>
    </row>
    <row r="90" spans="1:5">
      <c r="A90" s="40" t="s">
        <v>33</v>
      </c>
      <c r="B90" s="41">
        <v>37544.639999999999</v>
      </c>
      <c r="C90" s="41">
        <v>40883.910000000003</v>
      </c>
      <c r="D90" s="42">
        <v>5152.4399999999996</v>
      </c>
      <c r="E90" s="39">
        <f t="shared" si="2"/>
        <v>108.89413242476158</v>
      </c>
    </row>
    <row r="91" spans="1:5">
      <c r="A91" s="40" t="s">
        <v>42</v>
      </c>
      <c r="B91" s="41">
        <v>31545.360000000001</v>
      </c>
      <c r="C91" s="41">
        <v>30403.07</v>
      </c>
      <c r="D91" s="42">
        <v>4153.09</v>
      </c>
      <c r="E91" s="39">
        <f t="shared" si="2"/>
        <v>96.378896928106059</v>
      </c>
    </row>
    <row r="92" spans="1:5">
      <c r="A92" s="40" t="s">
        <v>35</v>
      </c>
      <c r="B92" s="41">
        <v>211080.06</v>
      </c>
      <c r="C92" s="41">
        <v>211140.32</v>
      </c>
      <c r="D92" s="42">
        <v>25675.33</v>
      </c>
      <c r="E92" s="39">
        <f t="shared" si="2"/>
        <v>100.0285484095466</v>
      </c>
    </row>
    <row r="93" spans="1:5">
      <c r="A93" s="40" t="s">
        <v>38</v>
      </c>
      <c r="B93" s="41">
        <v>2337.84</v>
      </c>
      <c r="C93" s="41">
        <v>2431.65</v>
      </c>
      <c r="D93" s="42">
        <v>244.92</v>
      </c>
      <c r="E93" s="39">
        <f t="shared" si="2"/>
        <v>104.01267836977723</v>
      </c>
    </row>
    <row r="94" spans="1:5">
      <c r="A94" s="40" t="s">
        <v>32</v>
      </c>
      <c r="B94" s="41">
        <v>31978.98</v>
      </c>
      <c r="C94" s="41">
        <v>34770.239999999998</v>
      </c>
      <c r="D94" s="42">
        <v>4384.9799999999996</v>
      </c>
      <c r="E94" s="39">
        <f t="shared" si="2"/>
        <v>108.72842098153224</v>
      </c>
    </row>
    <row r="95" spans="1:5">
      <c r="A95" s="40" t="s">
        <v>39</v>
      </c>
      <c r="B95" s="41">
        <v>0</v>
      </c>
      <c r="C95" s="41">
        <v>454.89</v>
      </c>
      <c r="D95" s="42">
        <v>-1280.31</v>
      </c>
      <c r="E95" s="39"/>
    </row>
    <row r="96" spans="1:5">
      <c r="A96" s="40" t="s">
        <v>40</v>
      </c>
      <c r="B96" s="41">
        <v>6950.04</v>
      </c>
      <c r="C96" s="41">
        <v>8122.55</v>
      </c>
      <c r="D96" s="42">
        <v>579.16999999999996</v>
      </c>
      <c r="E96" s="39">
        <f>C96/B96*100</f>
        <v>116.87055038532152</v>
      </c>
    </row>
    <row r="97" spans="1:5">
      <c r="A97" s="40" t="s">
        <v>44</v>
      </c>
      <c r="B97" s="41">
        <v>0</v>
      </c>
      <c r="C97" s="41">
        <v>-9742.9699999999993</v>
      </c>
      <c r="D97" s="42">
        <v>0.48</v>
      </c>
      <c r="E97" s="39"/>
    </row>
    <row r="98" spans="1:5">
      <c r="A98" s="40" t="s">
        <v>36</v>
      </c>
      <c r="B98" s="41">
        <v>35805.42</v>
      </c>
      <c r="C98" s="41">
        <v>39051.199999999997</v>
      </c>
      <c r="D98" s="42">
        <v>4911.6400000000003</v>
      </c>
      <c r="E98" s="39">
        <f>C98/B98*100</f>
        <v>109.06505216249383</v>
      </c>
    </row>
    <row r="99" spans="1:5">
      <c r="A99" s="40" t="s">
        <v>43</v>
      </c>
      <c r="B99" s="41">
        <v>14724.36</v>
      </c>
      <c r="C99" s="41">
        <v>15311.79</v>
      </c>
      <c r="D99" s="42">
        <v>1561.84</v>
      </c>
      <c r="E99" s="39">
        <f>C99/B99*100</f>
        <v>103.98951125889342</v>
      </c>
    </row>
    <row r="100" spans="1:5">
      <c r="A100" s="40" t="s">
        <v>34</v>
      </c>
      <c r="B100" s="41">
        <v>0</v>
      </c>
      <c r="C100" s="41">
        <v>37440.480000000003</v>
      </c>
      <c r="D100" s="42">
        <v>0</v>
      </c>
      <c r="E100" s="39"/>
    </row>
    <row r="101" spans="1:5">
      <c r="A101" s="43" t="s">
        <v>45</v>
      </c>
      <c r="B101" s="44">
        <v>416666.13</v>
      </c>
      <c r="C101" s="44">
        <v>458428.04</v>
      </c>
      <c r="D101" s="45">
        <v>49732.39</v>
      </c>
      <c r="E101" s="46">
        <f>C101/B101*100</f>
        <v>110.02287130945825</v>
      </c>
    </row>
    <row r="102" spans="1:5">
      <c r="A102" s="54" t="s">
        <v>101</v>
      </c>
      <c r="B102" s="54"/>
      <c r="C102" s="54"/>
      <c r="D102" s="54"/>
      <c r="E102" s="39"/>
    </row>
    <row r="103" spans="1:5">
      <c r="A103" s="40" t="s">
        <v>39</v>
      </c>
      <c r="B103" s="41">
        <v>0</v>
      </c>
      <c r="C103" s="41">
        <v>379.8</v>
      </c>
      <c r="D103" s="42">
        <v>-944.31</v>
      </c>
      <c r="E103" s="39"/>
    </row>
    <row r="104" spans="1:5">
      <c r="A104" s="40" t="s">
        <v>35</v>
      </c>
      <c r="B104" s="41">
        <v>215831.28</v>
      </c>
      <c r="C104" s="41">
        <v>157807.59</v>
      </c>
      <c r="D104" s="42">
        <v>123031.26</v>
      </c>
      <c r="E104" s="39">
        <f>C104/B104*100</f>
        <v>73.116181306064618</v>
      </c>
    </row>
    <row r="105" spans="1:5">
      <c r="A105" s="40" t="s">
        <v>34</v>
      </c>
      <c r="B105" s="41">
        <v>0</v>
      </c>
      <c r="C105" s="41">
        <v>-5035.18</v>
      </c>
      <c r="D105" s="42">
        <v>365462.09</v>
      </c>
      <c r="E105" s="39"/>
    </row>
    <row r="106" spans="1:5">
      <c r="A106" s="40" t="s">
        <v>37</v>
      </c>
      <c r="B106" s="41">
        <v>24841.42</v>
      </c>
      <c r="C106" s="41">
        <v>16597.740000000002</v>
      </c>
      <c r="D106" s="42">
        <v>16552.05</v>
      </c>
      <c r="E106" s="39">
        <f>C106/B106*100</f>
        <v>66.814779509383939</v>
      </c>
    </row>
    <row r="107" spans="1:5">
      <c r="A107" s="40" t="s">
        <v>43</v>
      </c>
      <c r="B107" s="41">
        <v>13035.59</v>
      </c>
      <c r="C107" s="41">
        <v>8429.14</v>
      </c>
      <c r="D107" s="42">
        <v>8713.5400000000009</v>
      </c>
      <c r="E107" s="39">
        <f>C107/B107*100</f>
        <v>64.662512398748333</v>
      </c>
    </row>
    <row r="108" spans="1:5">
      <c r="A108" s="40" t="s">
        <v>42</v>
      </c>
      <c r="B108" s="41">
        <v>28425.84</v>
      </c>
      <c r="C108" s="41">
        <v>23652.28</v>
      </c>
      <c r="D108" s="42">
        <v>11026.81</v>
      </c>
      <c r="E108" s="39">
        <f>C108/B108*100</f>
        <v>83.206969433445053</v>
      </c>
    </row>
    <row r="109" spans="1:5">
      <c r="A109" s="40" t="s">
        <v>44</v>
      </c>
      <c r="B109" s="41">
        <v>0</v>
      </c>
      <c r="C109" s="41">
        <v>-10347.82</v>
      </c>
      <c r="D109" s="42">
        <v>4010.95</v>
      </c>
      <c r="E109" s="39"/>
    </row>
    <row r="110" spans="1:5">
      <c r="A110" s="40" t="s">
        <v>32</v>
      </c>
      <c r="B110" s="41">
        <v>32698.86</v>
      </c>
      <c r="C110" s="41">
        <v>29339.83</v>
      </c>
      <c r="D110" s="42">
        <v>16691.02</v>
      </c>
      <c r="E110" s="39">
        <f t="shared" ref="E110:E116" si="3">C110/B110*100</f>
        <v>89.727378874982193</v>
      </c>
    </row>
    <row r="111" spans="1:5">
      <c r="A111" s="40" t="s">
        <v>33</v>
      </c>
      <c r="B111" s="41">
        <v>38389.68</v>
      </c>
      <c r="C111" s="41">
        <v>34425.19</v>
      </c>
      <c r="D111" s="42">
        <v>19784.849999999999</v>
      </c>
      <c r="E111" s="39">
        <f t="shared" si="3"/>
        <v>89.673031918994909</v>
      </c>
    </row>
    <row r="112" spans="1:5">
      <c r="A112" s="40" t="s">
        <v>36</v>
      </c>
      <c r="B112" s="41">
        <v>36611.4</v>
      </c>
      <c r="C112" s="41">
        <v>32732.76</v>
      </c>
      <c r="D112" s="42">
        <v>18896.47</v>
      </c>
      <c r="E112" s="39">
        <f t="shared" si="3"/>
        <v>89.405922745374383</v>
      </c>
    </row>
    <row r="113" spans="1:5">
      <c r="A113" s="40" t="s">
        <v>40</v>
      </c>
      <c r="B113" s="41">
        <v>10936.08</v>
      </c>
      <c r="C113" s="41">
        <v>4789.9399999999996</v>
      </c>
      <c r="D113" s="42">
        <v>11656.89</v>
      </c>
      <c r="E113" s="39">
        <f t="shared" si="3"/>
        <v>43.799423559447263</v>
      </c>
    </row>
    <row r="114" spans="1:5">
      <c r="A114" s="40" t="s">
        <v>38</v>
      </c>
      <c r="B114" s="41">
        <v>2069.41</v>
      </c>
      <c r="C114" s="41">
        <v>1279.3599999999999</v>
      </c>
      <c r="D114" s="42">
        <v>1010.27</v>
      </c>
      <c r="E114" s="39">
        <f t="shared" si="3"/>
        <v>61.822451809936162</v>
      </c>
    </row>
    <row r="115" spans="1:5">
      <c r="A115" s="40" t="s">
        <v>41</v>
      </c>
      <c r="B115" s="41">
        <v>23971.32</v>
      </c>
      <c r="C115" s="41">
        <v>15966.58</v>
      </c>
      <c r="D115" s="42">
        <v>15946.94</v>
      </c>
      <c r="E115" s="39">
        <f t="shared" si="3"/>
        <v>66.607012046061712</v>
      </c>
    </row>
    <row r="116" spans="1:5">
      <c r="A116" s="43" t="s">
        <v>45</v>
      </c>
      <c r="B116" s="44">
        <v>426810.88</v>
      </c>
      <c r="C116" s="44">
        <v>310017.21000000002</v>
      </c>
      <c r="D116" s="45">
        <v>611838.82999999996</v>
      </c>
      <c r="E116" s="46">
        <f t="shared" si="3"/>
        <v>72.635732716091965</v>
      </c>
    </row>
    <row r="117" spans="1:5">
      <c r="A117" s="54" t="s">
        <v>102</v>
      </c>
      <c r="B117" s="54"/>
      <c r="C117" s="54"/>
      <c r="D117" s="54"/>
      <c r="E117" s="39"/>
    </row>
    <row r="118" spans="1:5">
      <c r="A118" s="40" t="s">
        <v>42</v>
      </c>
      <c r="B118" s="41">
        <v>28246.560000000001</v>
      </c>
      <c r="C118" s="41">
        <v>16791.72</v>
      </c>
      <c r="D118" s="42">
        <v>23856.5</v>
      </c>
      <c r="E118" s="39">
        <f>C118/B118*100</f>
        <v>59.446955664689796</v>
      </c>
    </row>
    <row r="119" spans="1:5">
      <c r="A119" s="40" t="s">
        <v>41</v>
      </c>
      <c r="B119" s="41">
        <v>18213.82</v>
      </c>
      <c r="C119" s="41">
        <v>11445.6</v>
      </c>
      <c r="D119" s="42">
        <v>14953.54</v>
      </c>
      <c r="E119" s="39">
        <f>C119/B119*100</f>
        <v>62.840194972828321</v>
      </c>
    </row>
    <row r="120" spans="1:5">
      <c r="A120" s="40" t="s">
        <v>44</v>
      </c>
      <c r="B120" s="41">
        <v>0</v>
      </c>
      <c r="C120" s="41">
        <v>-774.89</v>
      </c>
      <c r="D120" s="42">
        <v>4634.24</v>
      </c>
      <c r="E120" s="39"/>
    </row>
    <row r="121" spans="1:5">
      <c r="A121" s="53" t="s">
        <v>96</v>
      </c>
      <c r="B121" s="53"/>
      <c r="C121" s="53"/>
      <c r="D121" s="53"/>
      <c r="E121" s="39"/>
    </row>
    <row r="122" spans="1:5">
      <c r="A122" s="36" t="s">
        <v>28</v>
      </c>
      <c r="B122" s="36" t="s">
        <v>29</v>
      </c>
      <c r="C122" s="36" t="s">
        <v>30</v>
      </c>
      <c r="D122" s="37" t="s">
        <v>31</v>
      </c>
      <c r="E122" s="39"/>
    </row>
    <row r="123" spans="1:5">
      <c r="A123" s="40" t="s">
        <v>40</v>
      </c>
      <c r="B123" s="41">
        <v>10916.16</v>
      </c>
      <c r="C123" s="41">
        <v>7175.95</v>
      </c>
      <c r="D123" s="42">
        <v>9171.56</v>
      </c>
      <c r="E123" s="39">
        <f>C123/B123*100</f>
        <v>65.736944126872459</v>
      </c>
    </row>
    <row r="124" spans="1:5">
      <c r="A124" s="40" t="s">
        <v>39</v>
      </c>
      <c r="B124" s="41">
        <v>0</v>
      </c>
      <c r="C124" s="41">
        <v>170.18</v>
      </c>
      <c r="D124" s="42">
        <v>-728</v>
      </c>
      <c r="E124" s="39"/>
    </row>
    <row r="125" spans="1:5">
      <c r="A125" s="40" t="s">
        <v>33</v>
      </c>
      <c r="B125" s="41">
        <v>28427.95</v>
      </c>
      <c r="C125" s="41">
        <v>17584.11</v>
      </c>
      <c r="D125" s="42">
        <v>22709.97</v>
      </c>
      <c r="E125" s="39">
        <f>C125/B125*100</f>
        <v>61.855005373233027</v>
      </c>
    </row>
    <row r="126" spans="1:5">
      <c r="A126" s="40" t="s">
        <v>34</v>
      </c>
      <c r="B126" s="41">
        <v>0</v>
      </c>
      <c r="C126" s="41">
        <v>27093.75</v>
      </c>
      <c r="D126" s="42">
        <v>445932.62</v>
      </c>
      <c r="E126" s="39"/>
    </row>
    <row r="127" spans="1:5">
      <c r="A127" s="40" t="s">
        <v>43</v>
      </c>
      <c r="B127" s="41">
        <v>9902.07</v>
      </c>
      <c r="C127" s="41">
        <v>6213.07</v>
      </c>
      <c r="D127" s="42">
        <v>8163.51</v>
      </c>
      <c r="E127" s="39">
        <f t="shared" ref="E127:E133" si="4">C127/B127*100</f>
        <v>62.745163385029592</v>
      </c>
    </row>
    <row r="128" spans="1:5">
      <c r="A128" s="40" t="s">
        <v>38</v>
      </c>
      <c r="B128" s="41">
        <v>1572.68</v>
      </c>
      <c r="C128" s="41">
        <v>987.3</v>
      </c>
      <c r="D128" s="42">
        <v>1269.31</v>
      </c>
      <c r="E128" s="39">
        <f t="shared" si="4"/>
        <v>62.77818755245822</v>
      </c>
    </row>
    <row r="129" spans="1:5">
      <c r="A129" s="40" t="s">
        <v>36</v>
      </c>
      <c r="B129" s="41">
        <v>27107.51</v>
      </c>
      <c r="C129" s="41">
        <v>16797.36</v>
      </c>
      <c r="D129" s="42">
        <v>21746.23</v>
      </c>
      <c r="E129" s="39">
        <f t="shared" si="4"/>
        <v>61.965706182530234</v>
      </c>
    </row>
    <row r="130" spans="1:5">
      <c r="A130" s="40" t="s">
        <v>32</v>
      </c>
      <c r="B130" s="41">
        <v>32533.439999999999</v>
      </c>
      <c r="C130" s="41">
        <v>20098.16</v>
      </c>
      <c r="D130" s="42">
        <v>25887.67</v>
      </c>
      <c r="E130" s="39">
        <f t="shared" si="4"/>
        <v>61.776928600234108</v>
      </c>
    </row>
    <row r="131" spans="1:5">
      <c r="A131" s="40" t="s">
        <v>35</v>
      </c>
      <c r="B131" s="41">
        <v>214739.1</v>
      </c>
      <c r="C131" s="41">
        <v>130889.08</v>
      </c>
      <c r="D131" s="42">
        <v>178644.85</v>
      </c>
      <c r="E131" s="39">
        <f t="shared" si="4"/>
        <v>60.95260714047884</v>
      </c>
    </row>
    <row r="132" spans="1:5">
      <c r="A132" s="40" t="s">
        <v>37</v>
      </c>
      <c r="B132" s="41">
        <v>18878.32</v>
      </c>
      <c r="C132" s="41">
        <v>11882.82</v>
      </c>
      <c r="D132" s="42">
        <v>15536.58</v>
      </c>
      <c r="E132" s="39">
        <f t="shared" si="4"/>
        <v>62.944266227079524</v>
      </c>
    </row>
    <row r="133" spans="1:5">
      <c r="A133" s="43" t="s">
        <v>45</v>
      </c>
      <c r="B133" s="44">
        <v>390537.61</v>
      </c>
      <c r="C133" s="44">
        <v>266354.21000000002</v>
      </c>
      <c r="D133" s="45">
        <v>771778.58</v>
      </c>
      <c r="E133" s="46">
        <f t="shared" si="4"/>
        <v>68.201935787951399</v>
      </c>
    </row>
    <row r="134" spans="1:5">
      <c r="A134" s="54" t="s">
        <v>103</v>
      </c>
      <c r="B134" s="54"/>
      <c r="C134" s="54"/>
      <c r="D134" s="54"/>
      <c r="E134" s="39"/>
    </row>
    <row r="135" spans="1:5">
      <c r="A135" s="40" t="s">
        <v>36</v>
      </c>
      <c r="B135" s="41">
        <v>36426.239999999998</v>
      </c>
      <c r="C135" s="41">
        <v>39720.14</v>
      </c>
      <c r="D135" s="42">
        <v>4149.13</v>
      </c>
      <c r="E135" s="39">
        <f>C135/B135*100</f>
        <v>109.0426571614309</v>
      </c>
    </row>
    <row r="136" spans="1:5">
      <c r="A136" s="40" t="s">
        <v>32</v>
      </c>
      <c r="B136" s="41">
        <v>32533.38</v>
      </c>
      <c r="C136" s="41">
        <v>35392.949999999997</v>
      </c>
      <c r="D136" s="42">
        <v>3708.25</v>
      </c>
      <c r="E136" s="39">
        <f>C136/B136*100</f>
        <v>108.7896492771424</v>
      </c>
    </row>
    <row r="137" spans="1:5">
      <c r="A137" s="40" t="s">
        <v>44</v>
      </c>
      <c r="B137" s="41">
        <v>0</v>
      </c>
      <c r="C137" s="41">
        <v>-8401.02</v>
      </c>
      <c r="D137" s="42">
        <v>0.01</v>
      </c>
      <c r="E137" s="39"/>
    </row>
    <row r="138" spans="1:5">
      <c r="A138" s="40" t="s">
        <v>35</v>
      </c>
      <c r="B138" s="41">
        <v>214739.1</v>
      </c>
      <c r="C138" s="41">
        <v>216222.35</v>
      </c>
      <c r="D138" s="42">
        <v>23532.400000000001</v>
      </c>
      <c r="E138" s="39">
        <f>C138/B138*100</f>
        <v>100.690721903929</v>
      </c>
    </row>
    <row r="139" spans="1:5">
      <c r="A139" s="40" t="s">
        <v>42</v>
      </c>
      <c r="B139" s="41">
        <v>39162.720000000001</v>
      </c>
      <c r="C139" s="41">
        <v>39886.39</v>
      </c>
      <c r="D139" s="42">
        <v>3869.1</v>
      </c>
      <c r="E139" s="39">
        <f>C139/B139*100</f>
        <v>101.84785428591272</v>
      </c>
    </row>
    <row r="140" spans="1:5">
      <c r="A140" s="40" t="s">
        <v>38</v>
      </c>
      <c r="B140" s="41">
        <v>905.76</v>
      </c>
      <c r="C140" s="41">
        <v>932.94</v>
      </c>
      <c r="D140" s="42">
        <v>30.87</v>
      </c>
      <c r="E140" s="39">
        <f>C140/B140*100</f>
        <v>103.00079491255963</v>
      </c>
    </row>
    <row r="141" spans="1:5">
      <c r="A141" s="40" t="s">
        <v>34</v>
      </c>
      <c r="B141" s="41">
        <v>0</v>
      </c>
      <c r="C141" s="41">
        <v>157.41999999999999</v>
      </c>
      <c r="D141" s="42">
        <v>0</v>
      </c>
      <c r="E141" s="39"/>
    </row>
    <row r="142" spans="1:5">
      <c r="A142" s="40" t="s">
        <v>39</v>
      </c>
      <c r="B142" s="41">
        <v>0</v>
      </c>
      <c r="C142" s="41">
        <v>770.99</v>
      </c>
      <c r="D142" s="42">
        <v>-1258.55</v>
      </c>
      <c r="E142" s="39"/>
    </row>
    <row r="143" spans="1:5">
      <c r="A143" s="40" t="s">
        <v>37</v>
      </c>
      <c r="B143" s="41">
        <v>7599.61</v>
      </c>
      <c r="C143" s="41">
        <v>7977.09</v>
      </c>
      <c r="D143" s="42">
        <v>47.88</v>
      </c>
      <c r="E143" s="39">
        <f>C143/B143*100</f>
        <v>104.96709699576689</v>
      </c>
    </row>
    <row r="144" spans="1:5">
      <c r="A144" s="40" t="s">
        <v>33</v>
      </c>
      <c r="B144" s="41">
        <v>38195.339999999997</v>
      </c>
      <c r="C144" s="41">
        <v>41597.870000000003</v>
      </c>
      <c r="D144" s="42">
        <v>4355.1099999999997</v>
      </c>
      <c r="E144" s="39">
        <f>C144/B144*100</f>
        <v>108.90823330804231</v>
      </c>
    </row>
    <row r="145" spans="1:5">
      <c r="A145" s="40" t="s">
        <v>43</v>
      </c>
      <c r="B145" s="41">
        <v>5701.29</v>
      </c>
      <c r="C145" s="41">
        <v>5858.03</v>
      </c>
      <c r="D145" s="42">
        <v>176.19</v>
      </c>
      <c r="E145" s="39">
        <f>C145/B145*100</f>
        <v>102.74920237349792</v>
      </c>
    </row>
    <row r="146" spans="1:5">
      <c r="A146" s="40" t="s">
        <v>41</v>
      </c>
      <c r="B146" s="41">
        <v>7328.96</v>
      </c>
      <c r="C146" s="41">
        <v>7683.17</v>
      </c>
      <c r="D146" s="42">
        <v>53.78</v>
      </c>
      <c r="E146" s="39">
        <f>C146/B146*100</f>
        <v>104.83301860018339</v>
      </c>
    </row>
    <row r="147" spans="1:5">
      <c r="A147" s="43" t="s">
        <v>45</v>
      </c>
      <c r="B147" s="44">
        <v>382592.4</v>
      </c>
      <c r="C147" s="44">
        <v>387798.32</v>
      </c>
      <c r="D147" s="45">
        <v>38664.17</v>
      </c>
      <c r="E147" s="46">
        <f>C147/B147*100</f>
        <v>101.36069613510357</v>
      </c>
    </row>
    <row r="148" spans="1:5">
      <c r="A148" s="54" t="s">
        <v>104</v>
      </c>
      <c r="B148" s="54"/>
      <c r="C148" s="54"/>
      <c r="D148" s="54"/>
      <c r="E148" s="39"/>
    </row>
    <row r="149" spans="1:5">
      <c r="A149" s="40" t="s">
        <v>33</v>
      </c>
      <c r="B149" s="41">
        <v>46286.29</v>
      </c>
      <c r="C149" s="41">
        <v>47548.68</v>
      </c>
      <c r="D149" s="42">
        <v>10962.88</v>
      </c>
      <c r="E149" s="39">
        <f>C149/B149*100</f>
        <v>102.7273518789257</v>
      </c>
    </row>
    <row r="150" spans="1:5">
      <c r="A150" s="40" t="s">
        <v>37</v>
      </c>
      <c r="B150" s="41">
        <v>26109.95</v>
      </c>
      <c r="C150" s="41">
        <v>21842.41</v>
      </c>
      <c r="D150" s="42">
        <v>9999.57</v>
      </c>
      <c r="E150" s="39">
        <f>C150/B150*100</f>
        <v>83.655502978749468</v>
      </c>
    </row>
    <row r="151" spans="1:5">
      <c r="A151" s="40" t="s">
        <v>43</v>
      </c>
      <c r="B151" s="41">
        <v>14343.92</v>
      </c>
      <c r="C151" s="41">
        <v>11752.09</v>
      </c>
      <c r="D151" s="42">
        <v>2335.7800000000002</v>
      </c>
      <c r="E151" s="39">
        <f>C151/B151*100</f>
        <v>81.930811103240956</v>
      </c>
    </row>
    <row r="152" spans="1:5">
      <c r="A152" s="40" t="s">
        <v>44</v>
      </c>
      <c r="B152" s="41">
        <v>0</v>
      </c>
      <c r="C152" s="41">
        <v>-16602.099999999999</v>
      </c>
      <c r="D152" s="42">
        <v>1416.33</v>
      </c>
      <c r="E152" s="39"/>
    </row>
    <row r="153" spans="1:5">
      <c r="A153" s="40" t="s">
        <v>34</v>
      </c>
      <c r="B153" s="41">
        <v>0</v>
      </c>
      <c r="C153" s="41">
        <v>-685.13</v>
      </c>
      <c r="D153" s="42">
        <v>27300.3</v>
      </c>
      <c r="E153" s="39"/>
    </row>
    <row r="154" spans="1:5">
      <c r="A154" s="40" t="s">
        <v>38</v>
      </c>
      <c r="B154" s="41">
        <v>2275.2800000000002</v>
      </c>
      <c r="C154" s="41">
        <v>1777.42</v>
      </c>
      <c r="D154" s="42">
        <v>637.37</v>
      </c>
      <c r="E154" s="39">
        <f>C154/B154*100</f>
        <v>78.118737034562784</v>
      </c>
    </row>
    <row r="155" spans="1:5">
      <c r="A155" s="40" t="s">
        <v>39</v>
      </c>
      <c r="B155" s="41">
        <v>0</v>
      </c>
      <c r="C155" s="41">
        <v>576.41</v>
      </c>
      <c r="D155" s="42">
        <v>-1954.46</v>
      </c>
      <c r="E155" s="39"/>
    </row>
    <row r="156" spans="1:5">
      <c r="A156" s="40" t="s">
        <v>40</v>
      </c>
      <c r="B156" s="41">
        <v>4123.4399999999996</v>
      </c>
      <c r="C156" s="41">
        <v>3759.12</v>
      </c>
      <c r="D156" s="42">
        <v>687.24</v>
      </c>
      <c r="E156" s="39">
        <f t="shared" ref="E156:E162" si="5">C156/B156*100</f>
        <v>91.164658634538156</v>
      </c>
    </row>
    <row r="157" spans="1:5">
      <c r="A157" s="40" t="s">
        <v>36</v>
      </c>
      <c r="B157" s="41">
        <v>44135.39</v>
      </c>
      <c r="C157" s="41">
        <v>44934.78</v>
      </c>
      <c r="D157" s="42">
        <v>10463.4</v>
      </c>
      <c r="E157" s="39">
        <f t="shared" si="5"/>
        <v>101.81122224138043</v>
      </c>
    </row>
    <row r="158" spans="1:5">
      <c r="A158" s="40" t="s">
        <v>41</v>
      </c>
      <c r="B158" s="41">
        <v>25197.35</v>
      </c>
      <c r="C158" s="41">
        <v>21053.34</v>
      </c>
      <c r="D158" s="42">
        <v>9637.2999999999993</v>
      </c>
      <c r="E158" s="39">
        <f t="shared" si="5"/>
        <v>83.553786410078843</v>
      </c>
    </row>
    <row r="159" spans="1:5">
      <c r="A159" s="40" t="s">
        <v>35</v>
      </c>
      <c r="B159" s="41">
        <v>349633.62</v>
      </c>
      <c r="C159" s="41">
        <v>318022.57</v>
      </c>
      <c r="D159" s="42">
        <v>83337.17</v>
      </c>
      <c r="E159" s="39">
        <f t="shared" si="5"/>
        <v>90.958807107851939</v>
      </c>
    </row>
    <row r="160" spans="1:5">
      <c r="A160" s="40" t="s">
        <v>42</v>
      </c>
      <c r="B160" s="41">
        <v>59640.480000000003</v>
      </c>
      <c r="C160" s="41">
        <v>54080.05</v>
      </c>
      <c r="D160" s="42">
        <v>14400.36</v>
      </c>
      <c r="E160" s="39">
        <f t="shared" si="5"/>
        <v>90.676751763231948</v>
      </c>
    </row>
    <row r="161" spans="1:5">
      <c r="A161" s="40" t="s">
        <v>32</v>
      </c>
      <c r="B161" s="41">
        <v>52970.400000000001</v>
      </c>
      <c r="C161" s="41">
        <v>54346.15</v>
      </c>
      <c r="D161" s="42">
        <v>12525.6</v>
      </c>
      <c r="E161" s="39">
        <f t="shared" si="5"/>
        <v>102.59720523160105</v>
      </c>
    </row>
    <row r="162" spans="1:5">
      <c r="A162" s="43" t="s">
        <v>45</v>
      </c>
      <c r="B162" s="44">
        <v>624716.12</v>
      </c>
      <c r="C162" s="44">
        <v>562405.79</v>
      </c>
      <c r="D162" s="45">
        <v>181748.84</v>
      </c>
      <c r="E162" s="46">
        <f t="shared" si="5"/>
        <v>90.025816846218092</v>
      </c>
    </row>
    <row r="163" spans="1:5">
      <c r="A163" s="54" t="s">
        <v>105</v>
      </c>
      <c r="B163" s="54"/>
      <c r="C163" s="54"/>
      <c r="D163" s="54"/>
      <c r="E163" s="39"/>
    </row>
    <row r="164" spans="1:5">
      <c r="A164" s="40" t="s">
        <v>44</v>
      </c>
      <c r="B164" s="41">
        <v>0</v>
      </c>
      <c r="C164" s="41">
        <v>-1624.44</v>
      </c>
      <c r="D164" s="42">
        <v>-32.54</v>
      </c>
      <c r="E164" s="39"/>
    </row>
    <row r="165" spans="1:5">
      <c r="A165" s="40" t="s">
        <v>33</v>
      </c>
      <c r="B165" s="41">
        <v>29122.15</v>
      </c>
      <c r="C165" s="41">
        <v>28988.26</v>
      </c>
      <c r="D165" s="42">
        <v>5927.77</v>
      </c>
      <c r="E165" s="39">
        <f>C165/B165*100</f>
        <v>99.540246856773962</v>
      </c>
    </row>
    <row r="166" spans="1:5">
      <c r="A166" s="40" t="s">
        <v>41</v>
      </c>
      <c r="B166" s="41">
        <v>14188.41</v>
      </c>
      <c r="C166" s="41">
        <v>13424.93</v>
      </c>
      <c r="D166" s="42">
        <v>2117.5</v>
      </c>
      <c r="E166" s="39">
        <f>C166/B166*100</f>
        <v>94.618988315110713</v>
      </c>
    </row>
    <row r="167" spans="1:5">
      <c r="A167" s="40" t="s">
        <v>37</v>
      </c>
      <c r="B167" s="41">
        <v>14710.36</v>
      </c>
      <c r="C167" s="41">
        <v>13938.83</v>
      </c>
      <c r="D167" s="42">
        <v>2311.2800000000002</v>
      </c>
      <c r="E167" s="39">
        <f>C167/B167*100</f>
        <v>94.755192938853966</v>
      </c>
    </row>
    <row r="168" spans="1:5">
      <c r="A168" s="40" t="s">
        <v>35</v>
      </c>
      <c r="B168" s="41">
        <v>219981.9</v>
      </c>
      <c r="C168" s="41">
        <v>210428.02</v>
      </c>
      <c r="D168" s="42">
        <v>46632.02</v>
      </c>
      <c r="E168" s="39">
        <f>C168/B168*100</f>
        <v>95.656969959801245</v>
      </c>
    </row>
    <row r="169" spans="1:5">
      <c r="A169" s="40" t="s">
        <v>39</v>
      </c>
      <c r="B169" s="41">
        <v>0</v>
      </c>
      <c r="C169" s="41">
        <v>1206.9000000000001</v>
      </c>
      <c r="D169" s="42">
        <v>-3243.64</v>
      </c>
      <c r="E169" s="39"/>
    </row>
    <row r="170" spans="1:5">
      <c r="A170" s="40" t="s">
        <v>42</v>
      </c>
      <c r="B170" s="41">
        <v>30059.279999999999</v>
      </c>
      <c r="C170" s="41">
        <v>28546.27</v>
      </c>
      <c r="D170" s="42">
        <v>4037.89</v>
      </c>
      <c r="E170" s="39">
        <f t="shared" ref="E170:E175" si="6">C170/B170*100</f>
        <v>94.966579372493285</v>
      </c>
    </row>
    <row r="171" spans="1:5">
      <c r="A171" s="40" t="s">
        <v>43</v>
      </c>
      <c r="B171" s="41">
        <v>7710.26</v>
      </c>
      <c r="C171" s="41">
        <v>7290.36</v>
      </c>
      <c r="D171" s="42">
        <v>-179.51</v>
      </c>
      <c r="E171" s="39">
        <f t="shared" si="6"/>
        <v>94.554009851807848</v>
      </c>
    </row>
    <row r="172" spans="1:5">
      <c r="A172" s="40" t="s">
        <v>38</v>
      </c>
      <c r="B172" s="41">
        <v>1225.3599999999999</v>
      </c>
      <c r="C172" s="41">
        <v>1156.6400000000001</v>
      </c>
      <c r="D172" s="42">
        <v>-2495.9899999999998</v>
      </c>
      <c r="E172" s="39">
        <f t="shared" si="6"/>
        <v>94.391852190376724</v>
      </c>
    </row>
    <row r="173" spans="1:5">
      <c r="A173" s="40" t="s">
        <v>36</v>
      </c>
      <c r="B173" s="41">
        <v>27769.19</v>
      </c>
      <c r="C173" s="41">
        <v>27739.56</v>
      </c>
      <c r="D173" s="42">
        <v>5687.47</v>
      </c>
      <c r="E173" s="39">
        <f t="shared" si="6"/>
        <v>99.893299012322657</v>
      </c>
    </row>
    <row r="174" spans="1:5">
      <c r="A174" s="40" t="s">
        <v>32</v>
      </c>
      <c r="B174" s="41">
        <v>33327.839999999997</v>
      </c>
      <c r="C174" s="41">
        <v>33118.639999999999</v>
      </c>
      <c r="D174" s="42">
        <v>6798.84</v>
      </c>
      <c r="E174" s="39">
        <f t="shared" si="6"/>
        <v>99.372296554472186</v>
      </c>
    </row>
    <row r="175" spans="1:5">
      <c r="A175" s="40" t="s">
        <v>40</v>
      </c>
      <c r="B175" s="41">
        <v>10059.6</v>
      </c>
      <c r="C175" s="41">
        <v>9216.0400000000009</v>
      </c>
      <c r="D175" s="42">
        <v>4369.8999999999996</v>
      </c>
      <c r="E175" s="39">
        <f t="shared" si="6"/>
        <v>91.61437830530042</v>
      </c>
    </row>
    <row r="176" spans="1:5">
      <c r="A176" s="40" t="s">
        <v>34</v>
      </c>
      <c r="B176" s="41">
        <v>0</v>
      </c>
      <c r="C176" s="41">
        <v>24699.919999999998</v>
      </c>
      <c r="D176" s="42">
        <v>35674.910000000003</v>
      </c>
      <c r="E176" s="39"/>
    </row>
    <row r="177" spans="1:5">
      <c r="A177" s="43" t="s">
        <v>45</v>
      </c>
      <c r="B177" s="44">
        <v>388154.35</v>
      </c>
      <c r="C177" s="44">
        <v>398129.93</v>
      </c>
      <c r="D177" s="45">
        <v>107605.9</v>
      </c>
      <c r="E177" s="46">
        <f>C177/B177*100</f>
        <v>102.57000340199718</v>
      </c>
    </row>
    <row r="178" spans="1:5">
      <c r="A178" s="54" t="s">
        <v>106</v>
      </c>
      <c r="B178" s="54"/>
      <c r="C178" s="54"/>
      <c r="D178" s="54"/>
      <c r="E178" s="39"/>
    </row>
    <row r="179" spans="1:5">
      <c r="A179" s="40" t="s">
        <v>43</v>
      </c>
      <c r="B179" s="41">
        <v>15951.6</v>
      </c>
      <c r="C179" s="41">
        <v>16323.53</v>
      </c>
      <c r="D179" s="42">
        <v>1837.5</v>
      </c>
      <c r="E179" s="39">
        <f>C179/B179*100</f>
        <v>102.33161563730285</v>
      </c>
    </row>
    <row r="180" spans="1:5">
      <c r="A180" s="40" t="s">
        <v>42</v>
      </c>
      <c r="B180" s="41">
        <v>66492.960000000006</v>
      </c>
      <c r="C180" s="41">
        <v>63389.919999999998</v>
      </c>
      <c r="D180" s="42">
        <v>9207.61</v>
      </c>
      <c r="E180" s="39">
        <f>C180/B180*100</f>
        <v>95.333280395398234</v>
      </c>
    </row>
    <row r="181" spans="1:5">
      <c r="A181" s="40" t="s">
        <v>32</v>
      </c>
      <c r="B181" s="41">
        <v>60044.34</v>
      </c>
      <c r="C181" s="41">
        <v>64895.37</v>
      </c>
      <c r="D181" s="42">
        <v>9408.4</v>
      </c>
      <c r="E181" s="39">
        <f>C181/B181*100</f>
        <v>108.07907956020502</v>
      </c>
    </row>
    <row r="182" spans="1:5">
      <c r="A182" s="40" t="s">
        <v>41</v>
      </c>
      <c r="B182" s="41">
        <v>26248.94</v>
      </c>
      <c r="C182" s="41">
        <v>27076.7</v>
      </c>
      <c r="D182" s="42">
        <v>3123.91</v>
      </c>
      <c r="E182" s="39">
        <f>C182/B182*100</f>
        <v>103.15349876985509</v>
      </c>
    </row>
    <row r="183" spans="1:5">
      <c r="A183" s="40" t="s">
        <v>35</v>
      </c>
      <c r="B183" s="41">
        <v>0</v>
      </c>
      <c r="C183" s="41">
        <v>0</v>
      </c>
      <c r="D183" s="42">
        <v>0</v>
      </c>
      <c r="E183" s="39"/>
    </row>
    <row r="184" spans="1:5">
      <c r="A184" s="40" t="s">
        <v>40</v>
      </c>
      <c r="B184" s="41">
        <v>5786.76</v>
      </c>
      <c r="C184" s="41">
        <v>6319.5</v>
      </c>
      <c r="D184" s="42">
        <v>1793.84</v>
      </c>
      <c r="E184" s="39">
        <f>C184/B184*100</f>
        <v>109.20618791862805</v>
      </c>
    </row>
    <row r="185" spans="1:5">
      <c r="A185" s="40" t="s">
        <v>36</v>
      </c>
      <c r="B185" s="41">
        <v>67229.100000000006</v>
      </c>
      <c r="C185" s="41">
        <v>73429.11</v>
      </c>
      <c r="D185" s="42">
        <v>10550.44</v>
      </c>
      <c r="E185" s="39">
        <f>C185/B185*100</f>
        <v>109.22221181006438</v>
      </c>
    </row>
    <row r="186" spans="1:5">
      <c r="A186" s="40" t="s">
        <v>47</v>
      </c>
      <c r="B186" s="41">
        <v>10454.200000000001</v>
      </c>
      <c r="C186" s="41">
        <v>267.8</v>
      </c>
      <c r="D186" s="42">
        <v>1451.4</v>
      </c>
      <c r="E186" s="39">
        <f>C186/B186*100</f>
        <v>2.561649863212871</v>
      </c>
    </row>
    <row r="187" spans="1:5">
      <c r="A187" s="40" t="s">
        <v>44</v>
      </c>
      <c r="B187" s="41">
        <v>0</v>
      </c>
      <c r="C187" s="41">
        <v>-18118.72</v>
      </c>
      <c r="D187" s="42">
        <v>110.66</v>
      </c>
      <c r="E187" s="39"/>
    </row>
    <row r="188" spans="1:5">
      <c r="A188" s="40" t="s">
        <v>37</v>
      </c>
      <c r="B188" s="41">
        <v>27204.14</v>
      </c>
      <c r="C188" s="41">
        <v>28099</v>
      </c>
      <c r="D188" s="42">
        <v>3233.18</v>
      </c>
      <c r="E188" s="39">
        <f>C188/B188*100</f>
        <v>103.28942580063183</v>
      </c>
    </row>
    <row r="189" spans="1:5">
      <c r="A189" s="40" t="s">
        <v>34</v>
      </c>
      <c r="B189" s="41">
        <v>0</v>
      </c>
      <c r="C189" s="41">
        <v>11422.65</v>
      </c>
      <c r="D189" s="42">
        <v>3975.82</v>
      </c>
      <c r="E189" s="39"/>
    </row>
    <row r="190" spans="1:5">
      <c r="A190" s="53" t="s">
        <v>96</v>
      </c>
      <c r="B190" s="53"/>
      <c r="C190" s="53"/>
      <c r="D190" s="53"/>
      <c r="E190" s="39"/>
    </row>
    <row r="191" spans="1:5">
      <c r="A191" s="36" t="s">
        <v>28</v>
      </c>
      <c r="B191" s="36" t="s">
        <v>29</v>
      </c>
      <c r="C191" s="36" t="s">
        <v>30</v>
      </c>
      <c r="D191" s="37" t="s">
        <v>31</v>
      </c>
      <c r="E191" s="39"/>
    </row>
    <row r="192" spans="1:5">
      <c r="A192" s="40" t="s">
        <v>46</v>
      </c>
      <c r="B192" s="41">
        <v>304664.5</v>
      </c>
      <c r="C192" s="41">
        <v>293304.69</v>
      </c>
      <c r="D192" s="42">
        <v>60097.8</v>
      </c>
      <c r="E192" s="39">
        <f>C192/B192*100</f>
        <v>96.271370638850271</v>
      </c>
    </row>
    <row r="193" spans="1:5">
      <c r="A193" s="40" t="s">
        <v>33</v>
      </c>
      <c r="B193" s="41">
        <v>70494.3</v>
      </c>
      <c r="C193" s="41">
        <v>76319.63</v>
      </c>
      <c r="D193" s="42">
        <v>11053.37</v>
      </c>
      <c r="E193" s="39">
        <f>C193/B193*100</f>
        <v>108.26354754923449</v>
      </c>
    </row>
    <row r="194" spans="1:5">
      <c r="A194" s="40" t="s">
        <v>39</v>
      </c>
      <c r="B194" s="41">
        <v>0</v>
      </c>
      <c r="C194" s="41">
        <v>649.17999999999995</v>
      </c>
      <c r="D194" s="42">
        <v>-2463.16</v>
      </c>
      <c r="E194" s="39"/>
    </row>
    <row r="195" spans="1:5">
      <c r="A195" s="40" t="s">
        <v>38</v>
      </c>
      <c r="B195" s="41">
        <v>2532.7800000000002</v>
      </c>
      <c r="C195" s="41">
        <v>2592.87</v>
      </c>
      <c r="D195" s="42">
        <v>188.68</v>
      </c>
      <c r="E195" s="39">
        <f>C195/B195*100</f>
        <v>102.3724918863857</v>
      </c>
    </row>
    <row r="196" spans="1:5">
      <c r="A196" s="43" t="s">
        <v>45</v>
      </c>
      <c r="B196" s="44">
        <v>657103.62</v>
      </c>
      <c r="C196" s="44">
        <v>645971.23</v>
      </c>
      <c r="D196" s="45">
        <v>113569.45</v>
      </c>
      <c r="E196" s="46">
        <f>C196/B196*100</f>
        <v>98.305839496060003</v>
      </c>
    </row>
    <row r="197" spans="1:5">
      <c r="A197" s="54" t="s">
        <v>107</v>
      </c>
      <c r="B197" s="54"/>
      <c r="C197" s="54"/>
      <c r="D197" s="54"/>
      <c r="E197" s="39"/>
    </row>
    <row r="198" spans="1:5">
      <c r="A198" s="40" t="s">
        <v>36</v>
      </c>
      <c r="B198" s="41">
        <v>7169.88</v>
      </c>
      <c r="C198" s="41">
        <v>4576.13</v>
      </c>
      <c r="D198" s="42">
        <v>4148.07</v>
      </c>
      <c r="E198" s="39">
        <f>C198/B198*100</f>
        <v>63.824359682449362</v>
      </c>
    </row>
    <row r="199" spans="1:5">
      <c r="A199" s="40" t="s">
        <v>33</v>
      </c>
      <c r="B199" s="41">
        <v>7519.02</v>
      </c>
      <c r="C199" s="41">
        <v>4784.28</v>
      </c>
      <c r="D199" s="42">
        <v>4353.2299999999996</v>
      </c>
      <c r="E199" s="39">
        <f>C199/B199*100</f>
        <v>63.629036762769609</v>
      </c>
    </row>
    <row r="200" spans="1:5">
      <c r="A200" s="40" t="s">
        <v>35</v>
      </c>
      <c r="B200" s="41">
        <v>56797.74</v>
      </c>
      <c r="C200" s="41">
        <v>33490.620000000003</v>
      </c>
      <c r="D200" s="42">
        <v>32410.41</v>
      </c>
      <c r="E200" s="39">
        <f>C200/B200*100</f>
        <v>58.964705285808918</v>
      </c>
    </row>
    <row r="201" spans="1:5">
      <c r="A201" s="40" t="s">
        <v>32</v>
      </c>
      <c r="B201" s="41">
        <v>8605.02</v>
      </c>
      <c r="C201" s="41">
        <v>5466.38</v>
      </c>
      <c r="D201" s="42">
        <v>4980.7299999999996</v>
      </c>
      <c r="E201" s="39">
        <f>C201/B201*100</f>
        <v>63.525476989013384</v>
      </c>
    </row>
    <row r="202" spans="1:5">
      <c r="A202" s="40" t="s">
        <v>48</v>
      </c>
      <c r="B202" s="41">
        <v>3266.31</v>
      </c>
      <c r="C202" s="41">
        <v>3364.39</v>
      </c>
      <c r="D202" s="42">
        <v>1112.93</v>
      </c>
      <c r="E202" s="39">
        <f>C202/B202*100</f>
        <v>103.00277683379716</v>
      </c>
    </row>
    <row r="203" spans="1:5">
      <c r="A203" s="40" t="s">
        <v>34</v>
      </c>
      <c r="B203" s="41">
        <v>0</v>
      </c>
      <c r="C203" s="41">
        <v>3451.29</v>
      </c>
      <c r="D203" s="42">
        <v>0</v>
      </c>
      <c r="E203" s="39"/>
    </row>
    <row r="204" spans="1:5">
      <c r="A204" s="40" t="s">
        <v>43</v>
      </c>
      <c r="B204" s="41">
        <v>2727.78</v>
      </c>
      <c r="C204" s="41">
        <v>2809.67</v>
      </c>
      <c r="D204" s="42">
        <v>925.47</v>
      </c>
      <c r="E204" s="39">
        <f>C204/B204*100</f>
        <v>103.00207494739311</v>
      </c>
    </row>
    <row r="205" spans="1:5">
      <c r="A205" s="40" t="s">
        <v>37</v>
      </c>
      <c r="B205" s="41">
        <v>1154.29</v>
      </c>
      <c r="C205" s="41">
        <v>1189.99</v>
      </c>
      <c r="D205" s="42">
        <v>374.62</v>
      </c>
      <c r="E205" s="39">
        <f>C205/B205*100</f>
        <v>103.09281029897166</v>
      </c>
    </row>
    <row r="206" spans="1:5">
      <c r="A206" s="40" t="s">
        <v>49</v>
      </c>
      <c r="B206" s="41">
        <v>710.19</v>
      </c>
      <c r="C206" s="41">
        <v>731.5</v>
      </c>
      <c r="D206" s="42">
        <v>223.15</v>
      </c>
      <c r="E206" s="39">
        <f>C206/B206*100</f>
        <v>103.00060547177515</v>
      </c>
    </row>
    <row r="207" spans="1:5">
      <c r="A207" s="40" t="s">
        <v>44</v>
      </c>
      <c r="B207" s="41">
        <v>0</v>
      </c>
      <c r="C207" s="41">
        <v>-1192.95</v>
      </c>
      <c r="D207" s="42">
        <v>4.0199999999999996</v>
      </c>
      <c r="E207" s="39"/>
    </row>
    <row r="208" spans="1:5">
      <c r="A208" s="40" t="s">
        <v>38</v>
      </c>
      <c r="B208" s="41">
        <v>437.94</v>
      </c>
      <c r="C208" s="41">
        <v>447.73</v>
      </c>
      <c r="D208" s="42">
        <v>127.33</v>
      </c>
      <c r="E208" s="39">
        <f>C208/B208*100</f>
        <v>102.23546604557703</v>
      </c>
    </row>
    <row r="209" spans="1:5">
      <c r="A209" s="43" t="s">
        <v>45</v>
      </c>
      <c r="B209" s="44">
        <v>88388.17</v>
      </c>
      <c r="C209" s="44">
        <v>59119.03</v>
      </c>
      <c r="D209" s="45">
        <v>48659.96</v>
      </c>
      <c r="E209" s="46">
        <f>C209/B209*100</f>
        <v>66.885681647215904</v>
      </c>
    </row>
    <row r="210" spans="1:5">
      <c r="A210" s="54" t="s">
        <v>108</v>
      </c>
      <c r="B210" s="54"/>
      <c r="C210" s="54"/>
      <c r="D210" s="54"/>
      <c r="E210" s="39"/>
    </row>
    <row r="211" spans="1:5">
      <c r="A211" s="40" t="s">
        <v>41</v>
      </c>
      <c r="B211" s="41">
        <v>27418.79</v>
      </c>
      <c r="C211" s="41">
        <v>26052.12</v>
      </c>
      <c r="D211" s="42">
        <v>6583.77</v>
      </c>
      <c r="E211" s="39">
        <f>C211/B211*100</f>
        <v>95.015571438418689</v>
      </c>
    </row>
    <row r="212" spans="1:5">
      <c r="A212" s="40" t="s">
        <v>34</v>
      </c>
      <c r="B212" s="41">
        <v>0</v>
      </c>
      <c r="C212" s="41">
        <v>20001.240000000002</v>
      </c>
      <c r="D212" s="42">
        <v>3159.22</v>
      </c>
      <c r="E212" s="39"/>
    </row>
    <row r="213" spans="1:5">
      <c r="A213" s="40" t="s">
        <v>44</v>
      </c>
      <c r="B213" s="41">
        <v>0</v>
      </c>
      <c r="C213" s="41">
        <v>-15593.86</v>
      </c>
      <c r="D213" s="42">
        <v>478.84</v>
      </c>
      <c r="E213" s="39"/>
    </row>
    <row r="214" spans="1:5">
      <c r="A214" s="40" t="s">
        <v>47</v>
      </c>
      <c r="B214" s="41">
        <v>9445.7999999999993</v>
      </c>
      <c r="C214" s="41">
        <v>689.74</v>
      </c>
      <c r="D214" s="42">
        <v>1381.4</v>
      </c>
      <c r="E214" s="39">
        <f>C214/B214*100</f>
        <v>7.3020813483241227</v>
      </c>
    </row>
    <row r="215" spans="1:5">
      <c r="A215" s="40" t="s">
        <v>43</v>
      </c>
      <c r="B215" s="41">
        <v>17268.16</v>
      </c>
      <c r="C215" s="41">
        <v>16255.89</v>
      </c>
      <c r="D215" s="42">
        <v>3827.91</v>
      </c>
      <c r="E215" s="39">
        <f>C215/B215*100</f>
        <v>94.137939421455442</v>
      </c>
    </row>
    <row r="216" spans="1:5">
      <c r="A216" s="40" t="s">
        <v>35</v>
      </c>
      <c r="B216" s="41">
        <v>377213.46</v>
      </c>
      <c r="C216" s="41">
        <v>360903.54</v>
      </c>
      <c r="D216" s="42">
        <v>55443.9</v>
      </c>
      <c r="E216" s="39">
        <f>C216/B216*100</f>
        <v>95.676209433247678</v>
      </c>
    </row>
    <row r="217" spans="1:5">
      <c r="A217" s="40" t="s">
        <v>37</v>
      </c>
      <c r="B217" s="41">
        <v>28423.95</v>
      </c>
      <c r="C217" s="41">
        <v>27050.09</v>
      </c>
      <c r="D217" s="42">
        <v>6817.12</v>
      </c>
      <c r="E217" s="39">
        <f>C217/B217*100</f>
        <v>95.166540892451607</v>
      </c>
    </row>
    <row r="218" spans="1:5">
      <c r="A218" s="40" t="s">
        <v>39</v>
      </c>
      <c r="B218" s="41">
        <v>0</v>
      </c>
      <c r="C218" s="41">
        <v>609.54999999999995</v>
      </c>
      <c r="D218" s="42">
        <v>-2233.9</v>
      </c>
      <c r="E218" s="39"/>
    </row>
    <row r="219" spans="1:5">
      <c r="A219" s="40" t="s">
        <v>38</v>
      </c>
      <c r="B219" s="41">
        <v>2743.56</v>
      </c>
      <c r="C219" s="41">
        <v>2342.92</v>
      </c>
      <c r="D219" s="42">
        <v>347.71</v>
      </c>
      <c r="E219" s="39">
        <f t="shared" ref="E219:E225" si="7">C219/B219*100</f>
        <v>85.397075332779309</v>
      </c>
    </row>
    <row r="220" spans="1:5">
      <c r="A220" s="40" t="s">
        <v>42</v>
      </c>
      <c r="B220" s="41">
        <v>55041.96</v>
      </c>
      <c r="C220" s="41">
        <v>53929.61</v>
      </c>
      <c r="D220" s="42">
        <v>5106.1499999999996</v>
      </c>
      <c r="E220" s="39">
        <f t="shared" si="7"/>
        <v>97.979087227271705</v>
      </c>
    </row>
    <row r="221" spans="1:5">
      <c r="A221" s="40" t="s">
        <v>40</v>
      </c>
      <c r="B221" s="41">
        <v>13751.76</v>
      </c>
      <c r="C221" s="41">
        <v>11750.45</v>
      </c>
      <c r="D221" s="42">
        <v>5261.34</v>
      </c>
      <c r="E221" s="39">
        <f t="shared" si="7"/>
        <v>85.446880981052615</v>
      </c>
    </row>
    <row r="222" spans="1:5">
      <c r="A222" s="40" t="s">
        <v>33</v>
      </c>
      <c r="B222" s="41">
        <v>67094.53</v>
      </c>
      <c r="C222" s="41">
        <v>70399.02</v>
      </c>
      <c r="D222" s="42">
        <v>10560.63</v>
      </c>
      <c r="E222" s="39">
        <f t="shared" si="7"/>
        <v>104.92512578894286</v>
      </c>
    </row>
    <row r="223" spans="1:5">
      <c r="A223" s="40" t="s">
        <v>32</v>
      </c>
      <c r="B223" s="41">
        <v>57148.49</v>
      </c>
      <c r="C223" s="41">
        <v>59897.2</v>
      </c>
      <c r="D223" s="42">
        <v>8982.65</v>
      </c>
      <c r="E223" s="39">
        <f t="shared" si="7"/>
        <v>104.80976837708222</v>
      </c>
    </row>
    <row r="224" spans="1:5">
      <c r="A224" s="40" t="s">
        <v>36</v>
      </c>
      <c r="B224" s="41">
        <v>63986.7</v>
      </c>
      <c r="C224" s="41">
        <v>67658.98</v>
      </c>
      <c r="D224" s="42">
        <v>10080.41</v>
      </c>
      <c r="E224" s="39">
        <f t="shared" si="7"/>
        <v>105.739130162987</v>
      </c>
    </row>
    <row r="225" spans="1:5">
      <c r="A225" s="43" t="s">
        <v>45</v>
      </c>
      <c r="B225" s="44">
        <v>719537.16</v>
      </c>
      <c r="C225" s="44">
        <v>701946.49</v>
      </c>
      <c r="D225" s="45">
        <v>115797.15</v>
      </c>
      <c r="E225" s="46">
        <f t="shared" si="7"/>
        <v>97.555279841280182</v>
      </c>
    </row>
    <row r="226" spans="1:5">
      <c r="A226" s="54" t="s">
        <v>109</v>
      </c>
      <c r="B226" s="54"/>
      <c r="C226" s="54"/>
      <c r="D226" s="54"/>
      <c r="E226" s="39"/>
    </row>
    <row r="227" spans="1:5">
      <c r="A227" s="40" t="s">
        <v>40</v>
      </c>
      <c r="B227" s="41">
        <v>19826.28</v>
      </c>
      <c r="C227" s="41">
        <v>11861.32</v>
      </c>
      <c r="D227" s="42">
        <v>19013.46</v>
      </c>
      <c r="E227" s="39">
        <f>C227/B227*100</f>
        <v>59.826250814575403</v>
      </c>
    </row>
    <row r="228" spans="1:5">
      <c r="A228" s="40" t="s">
        <v>49</v>
      </c>
      <c r="B228" s="41">
        <v>7587.67</v>
      </c>
      <c r="C228" s="41">
        <v>5459.95</v>
      </c>
      <c r="D228" s="42">
        <v>4623.84</v>
      </c>
      <c r="E228" s="39">
        <f>C228/B228*100</f>
        <v>71.958190063616371</v>
      </c>
    </row>
    <row r="229" spans="1:5">
      <c r="A229" s="40" t="s">
        <v>37</v>
      </c>
      <c r="B229" s="41">
        <v>18028.02</v>
      </c>
      <c r="C229" s="41">
        <v>14932.59</v>
      </c>
      <c r="D229" s="42">
        <v>8030.83</v>
      </c>
      <c r="E229" s="39">
        <f>C229/B229*100</f>
        <v>82.829894797099186</v>
      </c>
    </row>
    <row r="230" spans="1:5">
      <c r="A230" s="40" t="s">
        <v>41</v>
      </c>
      <c r="B230" s="41">
        <v>5641.68</v>
      </c>
      <c r="C230" s="41">
        <v>5702.73</v>
      </c>
      <c r="D230" s="42">
        <v>397.69</v>
      </c>
      <c r="E230" s="39">
        <f>C230/B230*100</f>
        <v>101.08212447356107</v>
      </c>
    </row>
    <row r="231" spans="1:5">
      <c r="A231" s="40" t="s">
        <v>44</v>
      </c>
      <c r="B231" s="41">
        <v>0</v>
      </c>
      <c r="C231" s="41">
        <v>-8130.07</v>
      </c>
      <c r="D231" s="42">
        <v>7729.75</v>
      </c>
      <c r="E231" s="39"/>
    </row>
    <row r="232" spans="1:5">
      <c r="A232" s="40" t="s">
        <v>42</v>
      </c>
      <c r="B232" s="41">
        <v>68369.399999999994</v>
      </c>
      <c r="C232" s="41">
        <v>51953.97</v>
      </c>
      <c r="D232" s="42">
        <v>42528.05</v>
      </c>
      <c r="E232" s="39">
        <f>C232/B232*100</f>
        <v>75.990092058728038</v>
      </c>
    </row>
    <row r="233" spans="1:5">
      <c r="A233" s="40" t="s">
        <v>35</v>
      </c>
      <c r="B233" s="41">
        <v>483599.82</v>
      </c>
      <c r="C233" s="41">
        <v>343958.68</v>
      </c>
      <c r="D233" s="42">
        <v>335487.73</v>
      </c>
      <c r="E233" s="39">
        <f>C233/B233*100</f>
        <v>71.124650129108815</v>
      </c>
    </row>
    <row r="234" spans="1:5">
      <c r="A234" s="40" t="s">
        <v>48</v>
      </c>
      <c r="B234" s="41">
        <v>34898.800000000003</v>
      </c>
      <c r="C234" s="41">
        <v>26168.12</v>
      </c>
      <c r="D234" s="42">
        <v>22574.26</v>
      </c>
      <c r="E234" s="39">
        <f>C234/B234*100</f>
        <v>74.982864740334904</v>
      </c>
    </row>
    <row r="235" spans="1:5">
      <c r="A235" s="40" t="s">
        <v>34</v>
      </c>
      <c r="B235" s="41">
        <v>0</v>
      </c>
      <c r="C235" s="41">
        <v>57303.18</v>
      </c>
      <c r="D235" s="42">
        <v>866073.65</v>
      </c>
      <c r="E235" s="39"/>
    </row>
    <row r="236" spans="1:5">
      <c r="A236" s="40" t="s">
        <v>32</v>
      </c>
      <c r="B236" s="41">
        <v>73266.179999999993</v>
      </c>
      <c r="C236" s="41">
        <v>56688.79</v>
      </c>
      <c r="D236" s="42">
        <v>47339.46</v>
      </c>
      <c r="E236" s="39">
        <f t="shared" ref="E236:E241" si="8">C236/B236*100</f>
        <v>77.373748706429097</v>
      </c>
    </row>
    <row r="237" spans="1:5">
      <c r="A237" s="40" t="s">
        <v>33</v>
      </c>
      <c r="B237" s="41">
        <v>64021.55</v>
      </c>
      <c r="C237" s="41">
        <v>49639.99</v>
      </c>
      <c r="D237" s="42">
        <v>41510.5</v>
      </c>
      <c r="E237" s="39">
        <f t="shared" si="8"/>
        <v>77.536376423251227</v>
      </c>
    </row>
    <row r="238" spans="1:5">
      <c r="A238" s="40" t="s">
        <v>38</v>
      </c>
      <c r="B238" s="41">
        <v>5107.72</v>
      </c>
      <c r="C238" s="41">
        <v>3765.21</v>
      </c>
      <c r="D238" s="42">
        <v>2566.5700000000002</v>
      </c>
      <c r="E238" s="39">
        <f t="shared" si="8"/>
        <v>73.716061177981558</v>
      </c>
    </row>
    <row r="239" spans="1:5">
      <c r="A239" s="40" t="s">
        <v>43</v>
      </c>
      <c r="B239" s="41">
        <v>32212.86</v>
      </c>
      <c r="C239" s="41">
        <v>24907.9</v>
      </c>
      <c r="D239" s="42">
        <v>19048.57</v>
      </c>
      <c r="E239" s="39">
        <f t="shared" si="8"/>
        <v>77.322845596448133</v>
      </c>
    </row>
    <row r="240" spans="1:5">
      <c r="A240" s="40" t="s">
        <v>36</v>
      </c>
      <c r="B240" s="41">
        <v>61046.53</v>
      </c>
      <c r="C240" s="41">
        <v>46991.89</v>
      </c>
      <c r="D240" s="42">
        <v>39720.51</v>
      </c>
      <c r="E240" s="39">
        <f t="shared" si="8"/>
        <v>76.97716807163323</v>
      </c>
    </row>
    <row r="241" spans="1:5">
      <c r="A241" s="43" t="s">
        <v>45</v>
      </c>
      <c r="B241" s="44">
        <v>873606.51</v>
      </c>
      <c r="C241" s="44">
        <v>691204.25</v>
      </c>
      <c r="D241" s="45">
        <v>1456644.87</v>
      </c>
      <c r="E241" s="46">
        <f t="shared" si="8"/>
        <v>79.120776011616485</v>
      </c>
    </row>
    <row r="242" spans="1:5">
      <c r="A242" s="54" t="s">
        <v>110</v>
      </c>
      <c r="B242" s="54"/>
      <c r="C242" s="54"/>
      <c r="D242" s="54"/>
      <c r="E242" s="39"/>
    </row>
    <row r="243" spans="1:5">
      <c r="A243" s="40" t="s">
        <v>36</v>
      </c>
      <c r="B243" s="41">
        <v>19181.46</v>
      </c>
      <c r="C243" s="41">
        <v>17987.18</v>
      </c>
      <c r="D243" s="42">
        <v>7424.15</v>
      </c>
      <c r="E243" s="39">
        <f t="shared" ref="E243:E249" si="9">C243/B243*100</f>
        <v>93.773779472469769</v>
      </c>
    </row>
    <row r="244" spans="1:5">
      <c r="A244" s="40" t="s">
        <v>49</v>
      </c>
      <c r="B244" s="41">
        <v>2522.9</v>
      </c>
      <c r="C244" s="41">
        <v>1864.24</v>
      </c>
      <c r="D244" s="42">
        <v>1855.96</v>
      </c>
      <c r="E244" s="39">
        <f t="shared" si="9"/>
        <v>73.892742478893339</v>
      </c>
    </row>
    <row r="245" spans="1:5">
      <c r="A245" s="40" t="s">
        <v>37</v>
      </c>
      <c r="B245" s="41">
        <v>4051.2</v>
      </c>
      <c r="C245" s="41">
        <v>2990.64</v>
      </c>
      <c r="D245" s="42">
        <v>3048.43</v>
      </c>
      <c r="E245" s="39">
        <f t="shared" si="9"/>
        <v>73.821090047393369</v>
      </c>
    </row>
    <row r="246" spans="1:5">
      <c r="A246" s="40" t="s">
        <v>38</v>
      </c>
      <c r="B246" s="41">
        <v>1538.85</v>
      </c>
      <c r="C246" s="41">
        <v>909.45</v>
      </c>
      <c r="D246" s="42">
        <v>1136.17</v>
      </c>
      <c r="E246" s="39">
        <f t="shared" si="9"/>
        <v>59.099327419826494</v>
      </c>
    </row>
    <row r="247" spans="1:5">
      <c r="A247" s="40" t="s">
        <v>43</v>
      </c>
      <c r="B247" s="41">
        <v>9690.32</v>
      </c>
      <c r="C247" s="41">
        <v>7166.29</v>
      </c>
      <c r="D247" s="42">
        <v>7296.41</v>
      </c>
      <c r="E247" s="39">
        <f t="shared" si="9"/>
        <v>73.9530789488892</v>
      </c>
    </row>
    <row r="248" spans="1:5">
      <c r="A248" s="40" t="s">
        <v>33</v>
      </c>
      <c r="B248" s="41">
        <v>20112.18</v>
      </c>
      <c r="C248" s="41">
        <v>18791.919999999998</v>
      </c>
      <c r="D248" s="42">
        <v>7733.75</v>
      </c>
      <c r="E248" s="39">
        <f t="shared" si="9"/>
        <v>93.435520167381142</v>
      </c>
    </row>
    <row r="249" spans="1:5">
      <c r="A249" s="40" t="s">
        <v>35</v>
      </c>
      <c r="B249" s="41">
        <v>120367.44</v>
      </c>
      <c r="C249" s="41">
        <v>101954.54</v>
      </c>
      <c r="D249" s="42">
        <v>51303.42</v>
      </c>
      <c r="E249" s="39">
        <f t="shared" si="9"/>
        <v>84.702756825267684</v>
      </c>
    </row>
    <row r="250" spans="1:5">
      <c r="A250" s="40" t="s">
        <v>44</v>
      </c>
      <c r="B250" s="41">
        <v>0</v>
      </c>
      <c r="C250" s="41">
        <v>-3381.28</v>
      </c>
      <c r="D250" s="42">
        <v>1550</v>
      </c>
      <c r="E250" s="39"/>
    </row>
    <row r="251" spans="1:5">
      <c r="A251" s="40" t="s">
        <v>32</v>
      </c>
      <c r="B251" s="41">
        <v>18235.98</v>
      </c>
      <c r="C251" s="41">
        <v>17056.47</v>
      </c>
      <c r="D251" s="42">
        <v>6913.3</v>
      </c>
      <c r="E251" s="39">
        <f>C251/B251*100</f>
        <v>93.531962636502129</v>
      </c>
    </row>
    <row r="252" spans="1:5">
      <c r="A252" s="40" t="s">
        <v>42</v>
      </c>
      <c r="B252" s="41">
        <v>15969.2</v>
      </c>
      <c r="C252" s="41">
        <v>14365.33</v>
      </c>
      <c r="D252" s="42">
        <v>7309.27</v>
      </c>
      <c r="E252" s="39">
        <f>C252/B252*100</f>
        <v>89.956478721538957</v>
      </c>
    </row>
    <row r="253" spans="1:5">
      <c r="A253" s="40" t="s">
        <v>34</v>
      </c>
      <c r="B253" s="41">
        <v>0</v>
      </c>
      <c r="C253" s="41">
        <v>24951.81</v>
      </c>
      <c r="D253" s="42">
        <v>86771.73</v>
      </c>
      <c r="E253" s="39"/>
    </row>
    <row r="254" spans="1:5">
      <c r="A254" s="40" t="s">
        <v>48</v>
      </c>
      <c r="B254" s="41">
        <v>11603.41</v>
      </c>
      <c r="C254" s="41">
        <v>8782.58</v>
      </c>
      <c r="D254" s="42">
        <v>8535.9599999999991</v>
      </c>
      <c r="E254" s="39">
        <f>C254/B254*100</f>
        <v>75.689646405668682</v>
      </c>
    </row>
    <row r="255" spans="1:5">
      <c r="A255" s="40" t="s">
        <v>40</v>
      </c>
      <c r="B255" s="41">
        <v>2788.8</v>
      </c>
      <c r="C255" s="41">
        <v>2760.17</v>
      </c>
      <c r="D255" s="42">
        <v>247.03</v>
      </c>
      <c r="E255" s="39">
        <f>C255/B255*100</f>
        <v>98.973393574297191</v>
      </c>
    </row>
    <row r="256" spans="1:5">
      <c r="A256" s="43" t="s">
        <v>45</v>
      </c>
      <c r="B256" s="44">
        <v>226061.74</v>
      </c>
      <c r="C256" s="44">
        <v>216199.34</v>
      </c>
      <c r="D256" s="45">
        <v>191125.58</v>
      </c>
      <c r="E256" s="46">
        <f>C256/B256*100</f>
        <v>95.637298023097586</v>
      </c>
    </row>
    <row r="257" spans="1:5">
      <c r="A257" s="54" t="s">
        <v>111</v>
      </c>
      <c r="B257" s="54"/>
      <c r="C257" s="54"/>
      <c r="D257" s="54"/>
      <c r="E257" s="39"/>
    </row>
    <row r="258" spans="1:5">
      <c r="A258" s="40" t="s">
        <v>38</v>
      </c>
      <c r="B258" s="41">
        <v>1057.8499999999999</v>
      </c>
      <c r="C258" s="41">
        <v>612.71</v>
      </c>
      <c r="D258" s="42">
        <v>751.16</v>
      </c>
      <c r="E258" s="39">
        <f>C258/B258*100</f>
        <v>57.920310062863365</v>
      </c>
    </row>
    <row r="259" spans="1:5">
      <c r="A259" s="53" t="s">
        <v>96</v>
      </c>
      <c r="B259" s="53"/>
      <c r="C259" s="53"/>
      <c r="D259" s="53"/>
      <c r="E259" s="39"/>
    </row>
    <row r="260" spans="1:5">
      <c r="A260" s="36" t="s">
        <v>28</v>
      </c>
      <c r="B260" s="36" t="s">
        <v>29</v>
      </c>
      <c r="C260" s="36" t="s">
        <v>30</v>
      </c>
      <c r="D260" s="37" t="s">
        <v>31</v>
      </c>
      <c r="E260" s="39"/>
    </row>
    <row r="261" spans="1:5">
      <c r="A261" s="40" t="s">
        <v>35</v>
      </c>
      <c r="B261" s="41">
        <v>80609.039999999994</v>
      </c>
      <c r="C261" s="41">
        <v>49501.71</v>
      </c>
      <c r="D261" s="42">
        <v>66756.72</v>
      </c>
      <c r="E261" s="39">
        <f>C261/B261*100</f>
        <v>61.409626017131579</v>
      </c>
    </row>
    <row r="262" spans="1:5">
      <c r="A262" s="40" t="s">
        <v>40</v>
      </c>
      <c r="B262" s="41">
        <v>2669.28</v>
      </c>
      <c r="C262" s="41">
        <v>1032.18</v>
      </c>
      <c r="D262" s="42">
        <v>1351.57</v>
      </c>
      <c r="E262" s="39">
        <f>C262/B262*100</f>
        <v>38.668854522567884</v>
      </c>
    </row>
    <row r="263" spans="1:5">
      <c r="A263" s="40" t="s">
        <v>34</v>
      </c>
      <c r="B263" s="41">
        <v>0</v>
      </c>
      <c r="C263" s="41">
        <v>13600.92</v>
      </c>
      <c r="D263" s="42">
        <v>75549.52</v>
      </c>
      <c r="E263" s="39"/>
    </row>
    <row r="264" spans="1:5">
      <c r="A264" s="40" t="s">
        <v>42</v>
      </c>
      <c r="B264" s="41">
        <v>12031.68</v>
      </c>
      <c r="C264" s="41">
        <v>6558.61</v>
      </c>
      <c r="D264" s="42">
        <v>10412.66</v>
      </c>
      <c r="E264" s="39">
        <f>C264/B264*100</f>
        <v>54.511173834410485</v>
      </c>
    </row>
    <row r="265" spans="1:5">
      <c r="A265" s="40" t="s">
        <v>49</v>
      </c>
      <c r="B265" s="41">
        <v>1737.05</v>
      </c>
      <c r="C265" s="41">
        <v>1077.23</v>
      </c>
      <c r="D265" s="42">
        <v>1290.47</v>
      </c>
      <c r="E265" s="39">
        <f>C265/B265*100</f>
        <v>62.014910336490026</v>
      </c>
    </row>
    <row r="266" spans="1:5">
      <c r="A266" s="40" t="s">
        <v>36</v>
      </c>
      <c r="B266" s="41">
        <v>12956.29</v>
      </c>
      <c r="C266" s="41">
        <v>8448.84</v>
      </c>
      <c r="D266" s="42">
        <v>10359.76</v>
      </c>
      <c r="E266" s="39">
        <f>C266/B266*100</f>
        <v>65.210334131144023</v>
      </c>
    </row>
    <row r="267" spans="1:5">
      <c r="A267" s="40" t="s">
        <v>32</v>
      </c>
      <c r="B267" s="41">
        <v>12212.45</v>
      </c>
      <c r="C267" s="41">
        <v>7907.08</v>
      </c>
      <c r="D267" s="42">
        <v>9710.9500000000007</v>
      </c>
      <c r="E267" s="39">
        <f>C267/B267*100</f>
        <v>64.746058325724974</v>
      </c>
    </row>
    <row r="268" spans="1:5">
      <c r="A268" s="40" t="s">
        <v>37</v>
      </c>
      <c r="B268" s="41">
        <v>2784.09</v>
      </c>
      <c r="C268" s="41">
        <v>1820.94</v>
      </c>
      <c r="D268" s="42">
        <v>2069.44</v>
      </c>
      <c r="E268" s="39">
        <f>C268/B268*100</f>
        <v>65.405213193538998</v>
      </c>
    </row>
    <row r="269" spans="1:5">
      <c r="A269" s="40" t="s">
        <v>44</v>
      </c>
      <c r="B269" s="41">
        <v>0</v>
      </c>
      <c r="C269" s="41">
        <v>-960.11</v>
      </c>
      <c r="D269" s="42">
        <v>1501.71</v>
      </c>
      <c r="E269" s="39"/>
    </row>
    <row r="270" spans="1:5">
      <c r="A270" s="40" t="s">
        <v>33</v>
      </c>
      <c r="B270" s="41">
        <v>13585.08</v>
      </c>
      <c r="C270" s="41">
        <v>8827.16</v>
      </c>
      <c r="D270" s="42">
        <v>10833.69</v>
      </c>
      <c r="E270" s="39">
        <f>C270/B270*100</f>
        <v>64.97687168570225</v>
      </c>
    </row>
    <row r="271" spans="1:5">
      <c r="A271" s="40" t="s">
        <v>48</v>
      </c>
      <c r="B271" s="41">
        <v>7989.49</v>
      </c>
      <c r="C271" s="41">
        <v>5419.38</v>
      </c>
      <c r="D271" s="42">
        <v>5935.79</v>
      </c>
      <c r="E271" s="39">
        <f>C271/B271*100</f>
        <v>67.831363453737353</v>
      </c>
    </row>
    <row r="272" spans="1:5">
      <c r="A272" s="40" t="s">
        <v>43</v>
      </c>
      <c r="B272" s="41">
        <v>6672.32</v>
      </c>
      <c r="C272" s="41">
        <v>4509.1899999999996</v>
      </c>
      <c r="D272" s="42">
        <v>4961</v>
      </c>
      <c r="E272" s="39">
        <f>C272/B272*100</f>
        <v>67.580541700637852</v>
      </c>
    </row>
    <row r="273" spans="1:5">
      <c r="A273" s="43" t="s">
        <v>45</v>
      </c>
      <c r="B273" s="44">
        <v>154304.62</v>
      </c>
      <c r="C273" s="44">
        <v>108355.84</v>
      </c>
      <c r="D273" s="45">
        <v>201484.44</v>
      </c>
      <c r="E273" s="46">
        <f>C273/B273*100</f>
        <v>70.222032237271961</v>
      </c>
    </row>
    <row r="274" spans="1:5">
      <c r="A274" s="54" t="s">
        <v>112</v>
      </c>
      <c r="B274" s="54"/>
      <c r="C274" s="54"/>
      <c r="D274" s="54"/>
      <c r="E274" s="39"/>
    </row>
    <row r="275" spans="1:5">
      <c r="A275" s="40" t="s">
        <v>33</v>
      </c>
      <c r="B275" s="41">
        <v>10888.32</v>
      </c>
      <c r="C275" s="41">
        <v>10854.98</v>
      </c>
      <c r="D275" s="42">
        <v>3128.6</v>
      </c>
      <c r="E275" s="39">
        <f>C275/B275*100</f>
        <v>99.693800329160055</v>
      </c>
    </row>
    <row r="276" spans="1:5">
      <c r="A276" s="40" t="s">
        <v>36</v>
      </c>
      <c r="B276" s="41">
        <v>10384.44</v>
      </c>
      <c r="C276" s="41">
        <v>10384.93</v>
      </c>
      <c r="D276" s="42">
        <v>2981.03</v>
      </c>
      <c r="E276" s="39">
        <f>C276/B276*100</f>
        <v>100.0047185982104</v>
      </c>
    </row>
    <row r="277" spans="1:5">
      <c r="A277" s="40" t="s">
        <v>38</v>
      </c>
      <c r="B277" s="41">
        <v>292.32</v>
      </c>
      <c r="C277" s="41">
        <v>293.39999999999998</v>
      </c>
      <c r="D277" s="42">
        <v>77.28</v>
      </c>
      <c r="E277" s="39">
        <f>C277/B277*100</f>
        <v>100.3694581280788</v>
      </c>
    </row>
    <row r="278" spans="1:5">
      <c r="A278" s="40" t="s">
        <v>48</v>
      </c>
      <c r="B278" s="41">
        <v>2203.92</v>
      </c>
      <c r="C278" s="41">
        <v>2221.59</v>
      </c>
      <c r="D278" s="42">
        <v>587.79</v>
      </c>
      <c r="E278" s="39">
        <f>C278/B278*100</f>
        <v>100.80175323968203</v>
      </c>
    </row>
    <row r="279" spans="1:5">
      <c r="A279" s="40" t="s">
        <v>34</v>
      </c>
      <c r="B279" s="41">
        <v>0</v>
      </c>
      <c r="C279" s="41">
        <v>4881.88</v>
      </c>
      <c r="D279" s="42">
        <v>0.52</v>
      </c>
      <c r="E279" s="39"/>
    </row>
    <row r="280" spans="1:5">
      <c r="A280" s="40" t="s">
        <v>49</v>
      </c>
      <c r="B280" s="41">
        <v>479.16</v>
      </c>
      <c r="C280" s="41">
        <v>482.98</v>
      </c>
      <c r="D280" s="42">
        <v>127.8</v>
      </c>
      <c r="E280" s="39">
        <f>C280/B280*100</f>
        <v>100.79722848317888</v>
      </c>
    </row>
    <row r="281" spans="1:5">
      <c r="A281" s="40" t="s">
        <v>44</v>
      </c>
      <c r="B281" s="41">
        <v>0</v>
      </c>
      <c r="C281" s="41">
        <v>715.12</v>
      </c>
      <c r="D281" s="42">
        <v>29.48</v>
      </c>
      <c r="E281" s="39"/>
    </row>
    <row r="282" spans="1:5">
      <c r="A282" s="40" t="s">
        <v>42</v>
      </c>
      <c r="B282" s="41">
        <v>11782.68</v>
      </c>
      <c r="C282" s="41">
        <v>12183.84</v>
      </c>
      <c r="D282" s="42">
        <v>3324.68</v>
      </c>
      <c r="E282" s="39">
        <f>C282/B282*100</f>
        <v>103.40465836295307</v>
      </c>
    </row>
    <row r="283" spans="1:5">
      <c r="A283" s="40" t="s">
        <v>37</v>
      </c>
      <c r="B283" s="41">
        <v>769.32</v>
      </c>
      <c r="C283" s="41">
        <v>778.72</v>
      </c>
      <c r="D283" s="42">
        <v>203.13</v>
      </c>
      <c r="E283" s="39">
        <f>C283/B283*100</f>
        <v>101.22185826444132</v>
      </c>
    </row>
    <row r="284" spans="1:5">
      <c r="A284" s="40" t="s">
        <v>43</v>
      </c>
      <c r="B284" s="41">
        <v>1840.68</v>
      </c>
      <c r="C284" s="41">
        <v>1855.31</v>
      </c>
      <c r="D284" s="42">
        <v>490.9</v>
      </c>
      <c r="E284" s="39">
        <f>C284/B284*100</f>
        <v>100.79481495968881</v>
      </c>
    </row>
    <row r="285" spans="1:5">
      <c r="A285" s="40" t="s">
        <v>35</v>
      </c>
      <c r="B285" s="41">
        <v>64607.4</v>
      </c>
      <c r="C285" s="41">
        <v>67320.53</v>
      </c>
      <c r="D285" s="42">
        <v>17187.3</v>
      </c>
      <c r="E285" s="39">
        <f>C285/B285*100</f>
        <v>104.19941059383291</v>
      </c>
    </row>
    <row r="286" spans="1:5">
      <c r="A286" s="43" t="s">
        <v>45</v>
      </c>
      <c r="B286" s="44">
        <v>103248.24</v>
      </c>
      <c r="C286" s="44">
        <v>111973.28</v>
      </c>
      <c r="D286" s="45">
        <v>28138.51</v>
      </c>
      <c r="E286" s="46">
        <f>C286/B286*100</f>
        <v>108.45054598509378</v>
      </c>
    </row>
    <row r="287" spans="1:5">
      <c r="A287" s="54" t="s">
        <v>113</v>
      </c>
      <c r="B287" s="54"/>
      <c r="C287" s="54"/>
      <c r="D287" s="54"/>
      <c r="E287" s="39"/>
    </row>
    <row r="288" spans="1:5">
      <c r="A288" s="40" t="s">
        <v>37</v>
      </c>
      <c r="B288" s="41">
        <v>1382.59</v>
      </c>
      <c r="C288" s="41">
        <v>1619.41</v>
      </c>
      <c r="D288" s="42">
        <v>-1305.54</v>
      </c>
      <c r="E288" s="39">
        <f>C288/B288*100</f>
        <v>117.12872218083454</v>
      </c>
    </row>
    <row r="289" spans="1:5">
      <c r="A289" s="40" t="s">
        <v>48</v>
      </c>
      <c r="B289" s="41">
        <v>3964.74</v>
      </c>
      <c r="C289" s="41">
        <v>4753.79</v>
      </c>
      <c r="D289" s="42">
        <v>-1048.01</v>
      </c>
      <c r="E289" s="39">
        <f>C289/B289*100</f>
        <v>119.90168333863002</v>
      </c>
    </row>
    <row r="290" spans="1:5">
      <c r="A290" s="40" t="s">
        <v>32</v>
      </c>
      <c r="B290" s="41">
        <v>32798.339999999997</v>
      </c>
      <c r="C290" s="41">
        <v>37776.339999999997</v>
      </c>
      <c r="D290" s="42">
        <v>2601.7399999999998</v>
      </c>
      <c r="E290" s="39">
        <f>C290/B290*100</f>
        <v>115.17759740279539</v>
      </c>
    </row>
    <row r="291" spans="1:5">
      <c r="A291" s="40" t="s">
        <v>43</v>
      </c>
      <c r="B291" s="41">
        <v>3311.06</v>
      </c>
      <c r="C291" s="41">
        <v>3867.47</v>
      </c>
      <c r="D291" s="42">
        <v>-1041.8499999999999</v>
      </c>
      <c r="E291" s="39">
        <f>C291/B291*100</f>
        <v>116.80458825874493</v>
      </c>
    </row>
    <row r="292" spans="1:5">
      <c r="A292" s="40" t="s">
        <v>44</v>
      </c>
      <c r="B292" s="41">
        <v>0</v>
      </c>
      <c r="C292" s="41">
        <v>-11506.7</v>
      </c>
      <c r="D292" s="42">
        <v>0</v>
      </c>
      <c r="E292" s="39"/>
    </row>
    <row r="293" spans="1:5">
      <c r="A293" s="40" t="s">
        <v>33</v>
      </c>
      <c r="B293" s="41">
        <v>28659.42</v>
      </c>
      <c r="C293" s="41">
        <v>33070.89</v>
      </c>
      <c r="D293" s="42">
        <v>2258.9299999999998</v>
      </c>
      <c r="E293" s="39">
        <f>C293/B293*100</f>
        <v>115.39273997868764</v>
      </c>
    </row>
    <row r="294" spans="1:5">
      <c r="A294" s="40" t="s">
        <v>35</v>
      </c>
      <c r="B294" s="41">
        <v>216486.78</v>
      </c>
      <c r="C294" s="41">
        <v>217504.55</v>
      </c>
      <c r="D294" s="42">
        <v>18989.3</v>
      </c>
      <c r="E294" s="39">
        <f>C294/B294*100</f>
        <v>100.4701303238932</v>
      </c>
    </row>
    <row r="295" spans="1:5">
      <c r="A295" s="40" t="s">
        <v>34</v>
      </c>
      <c r="B295" s="41">
        <v>0</v>
      </c>
      <c r="C295" s="41">
        <v>-1329.27</v>
      </c>
      <c r="D295" s="42">
        <v>0</v>
      </c>
      <c r="E295" s="39"/>
    </row>
    <row r="296" spans="1:5">
      <c r="A296" s="40" t="s">
        <v>36</v>
      </c>
      <c r="B296" s="41">
        <v>27327.9</v>
      </c>
      <c r="C296" s="41">
        <v>33138.65</v>
      </c>
      <c r="D296" s="42">
        <v>2152.41</v>
      </c>
      <c r="E296" s="39">
        <f t="shared" ref="E296:E301" si="10">C296/B296*100</f>
        <v>121.263068146473</v>
      </c>
    </row>
    <row r="297" spans="1:5">
      <c r="A297" s="40" t="s">
        <v>40</v>
      </c>
      <c r="B297" s="41">
        <v>3386.4</v>
      </c>
      <c r="C297" s="41">
        <v>3631.96</v>
      </c>
      <c r="D297" s="42">
        <v>282.2</v>
      </c>
      <c r="E297" s="39">
        <f t="shared" si="10"/>
        <v>107.25135837467516</v>
      </c>
    </row>
    <row r="298" spans="1:5">
      <c r="A298" s="40" t="s">
        <v>38</v>
      </c>
      <c r="B298" s="41">
        <v>526.36</v>
      </c>
      <c r="C298" s="41">
        <v>613.20000000000005</v>
      </c>
      <c r="D298" s="42">
        <v>-1422.64</v>
      </c>
      <c r="E298" s="39">
        <f t="shared" si="10"/>
        <v>116.49821415001141</v>
      </c>
    </row>
    <row r="299" spans="1:5">
      <c r="A299" s="40" t="s">
        <v>42</v>
      </c>
      <c r="B299" s="41">
        <v>36095.040000000001</v>
      </c>
      <c r="C299" s="41">
        <v>36999.03</v>
      </c>
      <c r="D299" s="42">
        <v>3126.64</v>
      </c>
      <c r="E299" s="39">
        <f t="shared" si="10"/>
        <v>102.50447152849809</v>
      </c>
    </row>
    <row r="300" spans="1:5">
      <c r="A300" s="40" t="s">
        <v>49</v>
      </c>
      <c r="B300" s="41">
        <v>861.99</v>
      </c>
      <c r="C300" s="41">
        <v>1013.94</v>
      </c>
      <c r="D300" s="42">
        <v>-1378.74</v>
      </c>
      <c r="E300" s="39">
        <f t="shared" si="10"/>
        <v>117.62781470782724</v>
      </c>
    </row>
    <row r="301" spans="1:5">
      <c r="A301" s="43" t="s">
        <v>45</v>
      </c>
      <c r="B301" s="44">
        <v>354800.62</v>
      </c>
      <c r="C301" s="44">
        <v>361153.26</v>
      </c>
      <c r="D301" s="45">
        <v>23214.44</v>
      </c>
      <c r="E301" s="46">
        <f t="shared" si="10"/>
        <v>101.79048165135676</v>
      </c>
    </row>
    <row r="302" spans="1:5">
      <c r="A302" s="54" t="s">
        <v>114</v>
      </c>
      <c r="B302" s="54"/>
      <c r="C302" s="54"/>
      <c r="D302" s="54"/>
      <c r="E302" s="39"/>
    </row>
    <row r="303" spans="1:5">
      <c r="A303" s="40" t="s">
        <v>36</v>
      </c>
      <c r="B303" s="41">
        <v>49235.96</v>
      </c>
      <c r="C303" s="41">
        <v>23920.560000000001</v>
      </c>
      <c r="D303" s="42">
        <v>42853.1</v>
      </c>
      <c r="E303" s="39">
        <f>C303/B303*100</f>
        <v>48.583514975639758</v>
      </c>
    </row>
    <row r="304" spans="1:5">
      <c r="A304" s="40" t="s">
        <v>37</v>
      </c>
      <c r="B304" s="41">
        <v>39680.629999999997</v>
      </c>
      <c r="C304" s="41">
        <v>18291.73</v>
      </c>
      <c r="D304" s="42">
        <v>41772.080000000002</v>
      </c>
      <c r="E304" s="39">
        <f>C304/B304*100</f>
        <v>46.097377990218405</v>
      </c>
    </row>
    <row r="305" spans="1:5">
      <c r="A305" s="40" t="s">
        <v>32</v>
      </c>
      <c r="B305" s="41">
        <v>46955.22</v>
      </c>
      <c r="C305" s="41">
        <v>22682.74</v>
      </c>
      <c r="D305" s="42">
        <v>40683.5</v>
      </c>
      <c r="E305" s="39">
        <f>C305/B305*100</f>
        <v>48.307174367407931</v>
      </c>
    </row>
    <row r="306" spans="1:5">
      <c r="A306" s="40" t="s">
        <v>34</v>
      </c>
      <c r="B306" s="41">
        <v>0</v>
      </c>
      <c r="C306" s="41">
        <v>6073.35</v>
      </c>
      <c r="D306" s="42">
        <v>651505.03</v>
      </c>
      <c r="E306" s="39"/>
    </row>
    <row r="307" spans="1:5">
      <c r="A307" s="40" t="s">
        <v>38</v>
      </c>
      <c r="B307" s="41">
        <v>3303.87</v>
      </c>
      <c r="C307" s="41">
        <v>1520.49</v>
      </c>
      <c r="D307" s="42">
        <v>3153.66</v>
      </c>
      <c r="E307" s="39">
        <f>C307/B307*100</f>
        <v>46.021483896158145</v>
      </c>
    </row>
    <row r="308" spans="1:5">
      <c r="A308" s="40" t="s">
        <v>39</v>
      </c>
      <c r="B308" s="41">
        <v>12087.95</v>
      </c>
      <c r="C308" s="41">
        <v>1388.7</v>
      </c>
      <c r="D308" s="42">
        <v>9628.6200000000008</v>
      </c>
      <c r="E308" s="39">
        <f>C308/B308*100</f>
        <v>11.488300332148958</v>
      </c>
    </row>
    <row r="309" spans="1:5">
      <c r="A309" s="40" t="s">
        <v>35</v>
      </c>
      <c r="B309" s="41">
        <v>309930</v>
      </c>
      <c r="C309" s="41">
        <v>128244.86</v>
      </c>
      <c r="D309" s="42">
        <v>271897.84000000003</v>
      </c>
      <c r="E309" s="39">
        <f>C309/B309*100</f>
        <v>41.378653244280969</v>
      </c>
    </row>
    <row r="310" spans="1:5">
      <c r="A310" s="40" t="s">
        <v>41</v>
      </c>
      <c r="B310" s="41">
        <v>38203</v>
      </c>
      <c r="C310" s="41">
        <v>17539.599999999999</v>
      </c>
      <c r="D310" s="42">
        <v>40185.81</v>
      </c>
      <c r="E310" s="39">
        <f>C310/B310*100</f>
        <v>45.911577624793857</v>
      </c>
    </row>
    <row r="311" spans="1:5">
      <c r="A311" s="40" t="s">
        <v>44</v>
      </c>
      <c r="B311" s="41">
        <v>0</v>
      </c>
      <c r="C311" s="41">
        <v>-10446.11</v>
      </c>
      <c r="D311" s="42">
        <v>5134.3900000000003</v>
      </c>
      <c r="E311" s="39"/>
    </row>
    <row r="312" spans="1:5">
      <c r="A312" s="40" t="s">
        <v>47</v>
      </c>
      <c r="B312" s="41">
        <v>8382.2000000000007</v>
      </c>
      <c r="C312" s="41">
        <v>50.8</v>
      </c>
      <c r="D312" s="42">
        <v>1135</v>
      </c>
      <c r="E312" s="39">
        <f>C312/B312*100</f>
        <v>0.60604614540335466</v>
      </c>
    </row>
    <row r="313" spans="1:5">
      <c r="A313" s="40" t="s">
        <v>43</v>
      </c>
      <c r="B313" s="41">
        <v>20703.990000000002</v>
      </c>
      <c r="C313" s="41">
        <v>9450.3700000000008</v>
      </c>
      <c r="D313" s="42">
        <v>21775.56</v>
      </c>
      <c r="E313" s="39">
        <f>C313/B313*100</f>
        <v>45.645163082091905</v>
      </c>
    </row>
    <row r="314" spans="1:5">
      <c r="A314" s="40" t="s">
        <v>33</v>
      </c>
      <c r="B314" s="41">
        <v>49270.61</v>
      </c>
      <c r="C314" s="41">
        <v>23858.25</v>
      </c>
      <c r="D314" s="42">
        <v>42801.26</v>
      </c>
      <c r="E314" s="39">
        <f>C314/B314*100</f>
        <v>48.422883337551532</v>
      </c>
    </row>
    <row r="315" spans="1:5">
      <c r="A315" s="43" t="s">
        <v>45</v>
      </c>
      <c r="B315" s="44">
        <v>577753.43000000005</v>
      </c>
      <c r="C315" s="44">
        <v>242575.34</v>
      </c>
      <c r="D315" s="45">
        <v>1172525.8500000001</v>
      </c>
      <c r="E315" s="46">
        <f>C315/B315*100</f>
        <v>41.985962766157868</v>
      </c>
    </row>
    <row r="316" spans="1:5">
      <c r="A316" s="54" t="s">
        <v>115</v>
      </c>
      <c r="B316" s="54"/>
      <c r="C316" s="54"/>
      <c r="D316" s="54"/>
      <c r="E316" s="39"/>
    </row>
    <row r="317" spans="1:5">
      <c r="A317" s="40" t="s">
        <v>37</v>
      </c>
      <c r="B317" s="41">
        <v>11177.59</v>
      </c>
      <c r="C317" s="41">
        <v>9581.5300000000007</v>
      </c>
      <c r="D317" s="42">
        <v>6003.77</v>
      </c>
      <c r="E317" s="39">
        <f>C317/B317*100</f>
        <v>85.720893323158222</v>
      </c>
    </row>
    <row r="318" spans="1:5">
      <c r="A318" s="40" t="s">
        <v>32</v>
      </c>
      <c r="B318" s="41">
        <v>13403.69</v>
      </c>
      <c r="C318" s="41">
        <v>10850.89</v>
      </c>
      <c r="D318" s="42">
        <v>7672.37</v>
      </c>
      <c r="E318" s="39">
        <f>C318/B318*100</f>
        <v>80.954498350827265</v>
      </c>
    </row>
    <row r="319" spans="1:5">
      <c r="A319" s="40" t="s">
        <v>38</v>
      </c>
      <c r="B319" s="41">
        <v>1396.66</v>
      </c>
      <c r="C319" s="41">
        <v>1191.7</v>
      </c>
      <c r="D319" s="42">
        <v>741.47</v>
      </c>
      <c r="E319" s="39">
        <f>C319/B319*100</f>
        <v>85.324989618088864</v>
      </c>
    </row>
    <row r="320" spans="1:5">
      <c r="A320" s="40" t="s">
        <v>33</v>
      </c>
      <c r="B320" s="41">
        <v>15736.86</v>
      </c>
      <c r="C320" s="41">
        <v>12759.33</v>
      </c>
      <c r="D320" s="42">
        <v>9042.44</v>
      </c>
      <c r="E320" s="39">
        <f>C320/B320*100</f>
        <v>81.079262317895683</v>
      </c>
    </row>
    <row r="321" spans="1:5">
      <c r="A321" s="40" t="s">
        <v>43</v>
      </c>
      <c r="B321" s="41">
        <v>8793.16</v>
      </c>
      <c r="C321" s="41">
        <v>7497.1</v>
      </c>
      <c r="D321" s="42">
        <v>4741.99</v>
      </c>
      <c r="E321" s="39">
        <f>C321/B321*100</f>
        <v>85.260588912290928</v>
      </c>
    </row>
    <row r="322" spans="1:5">
      <c r="A322" s="40" t="s">
        <v>44</v>
      </c>
      <c r="B322" s="41">
        <v>0</v>
      </c>
      <c r="C322" s="41">
        <v>781.46</v>
      </c>
      <c r="D322" s="42">
        <v>1692.45</v>
      </c>
      <c r="E322" s="39"/>
    </row>
    <row r="323" spans="1:5">
      <c r="A323" s="40" t="s">
        <v>41</v>
      </c>
      <c r="B323" s="41">
        <v>10783.49</v>
      </c>
      <c r="C323" s="41">
        <v>9217.66</v>
      </c>
      <c r="D323" s="42">
        <v>5790.18</v>
      </c>
      <c r="E323" s="39">
        <f>C323/B323*100</f>
        <v>85.47937634290939</v>
      </c>
    </row>
    <row r="324" spans="1:5">
      <c r="A324" s="40" t="s">
        <v>63</v>
      </c>
      <c r="B324" s="41">
        <v>8627.2000000000007</v>
      </c>
      <c r="C324" s="41">
        <v>862.92</v>
      </c>
      <c r="D324" s="42">
        <v>7764.28</v>
      </c>
      <c r="E324" s="39">
        <f>C324/B324*100</f>
        <v>10.00231824925816</v>
      </c>
    </row>
    <row r="325" spans="1:5">
      <c r="A325" s="40" t="s">
        <v>36</v>
      </c>
      <c r="B325" s="41">
        <v>15007.63</v>
      </c>
      <c r="C325" s="41">
        <v>12192.43</v>
      </c>
      <c r="D325" s="42">
        <v>8647.2099999999991</v>
      </c>
      <c r="E325" s="39">
        <f>C325/B325*100</f>
        <v>81.241541802403177</v>
      </c>
    </row>
    <row r="326" spans="1:5">
      <c r="A326" s="40" t="s">
        <v>40</v>
      </c>
      <c r="B326" s="41">
        <v>16135.2</v>
      </c>
      <c r="C326" s="41">
        <v>13558.53</v>
      </c>
      <c r="D326" s="42">
        <v>9583.2199999999993</v>
      </c>
      <c r="E326" s="39">
        <f>C326/B326*100</f>
        <v>84.030752640190386</v>
      </c>
    </row>
    <row r="327" spans="1:5">
      <c r="A327" s="40" t="s">
        <v>35</v>
      </c>
      <c r="B327" s="41">
        <v>88473.36</v>
      </c>
      <c r="C327" s="41">
        <v>73265.34</v>
      </c>
      <c r="D327" s="42">
        <v>52138.78</v>
      </c>
      <c r="E327" s="39">
        <f>C327/B327*100</f>
        <v>82.810622316141263</v>
      </c>
    </row>
    <row r="328" spans="1:5">
      <c r="A328" s="53" t="s">
        <v>96</v>
      </c>
      <c r="B328" s="53"/>
      <c r="C328" s="53"/>
      <c r="D328" s="53"/>
      <c r="E328" s="39"/>
    </row>
    <row r="329" spans="1:5">
      <c r="A329" s="36" t="s">
        <v>28</v>
      </c>
      <c r="B329" s="36" t="s">
        <v>29</v>
      </c>
      <c r="C329" s="36" t="s">
        <v>30</v>
      </c>
      <c r="D329" s="37" t="s">
        <v>31</v>
      </c>
      <c r="E329" s="39"/>
    </row>
    <row r="330" spans="1:5">
      <c r="A330" s="40" t="s">
        <v>34</v>
      </c>
      <c r="B330" s="41">
        <v>0</v>
      </c>
      <c r="C330" s="41">
        <v>14038.09</v>
      </c>
      <c r="D330" s="42">
        <v>85494.43</v>
      </c>
      <c r="E330" s="39"/>
    </row>
    <row r="331" spans="1:5">
      <c r="A331" s="40" t="s">
        <v>39</v>
      </c>
      <c r="B331" s="41">
        <v>0</v>
      </c>
      <c r="C331" s="41">
        <v>313.08</v>
      </c>
      <c r="D331" s="42">
        <v>-316.92</v>
      </c>
      <c r="E331" s="39"/>
    </row>
    <row r="332" spans="1:5">
      <c r="A332" s="43" t="s">
        <v>45</v>
      </c>
      <c r="B332" s="44">
        <v>189534.84</v>
      </c>
      <c r="C332" s="44">
        <v>166110.06</v>
      </c>
      <c r="D332" s="45">
        <v>198995.67</v>
      </c>
      <c r="E332" s="46">
        <f>C332/B332*100</f>
        <v>87.640910768700891</v>
      </c>
    </row>
    <row r="333" spans="1:5">
      <c r="A333" s="54" t="s">
        <v>116</v>
      </c>
      <c r="B333" s="54"/>
      <c r="C333" s="54"/>
      <c r="D333" s="54"/>
      <c r="E333" s="39"/>
    </row>
    <row r="334" spans="1:5">
      <c r="A334" s="40" t="s">
        <v>38</v>
      </c>
      <c r="B334" s="41">
        <v>535.21</v>
      </c>
      <c r="C334" s="41">
        <v>901.94</v>
      </c>
      <c r="D334" s="42">
        <v>41.88</v>
      </c>
      <c r="E334" s="39">
        <f>C334/B334*100</f>
        <v>168.5207675491863</v>
      </c>
    </row>
    <row r="335" spans="1:5">
      <c r="A335" s="40" t="s">
        <v>43</v>
      </c>
      <c r="B335" s="41">
        <v>3332.11</v>
      </c>
      <c r="C335" s="41">
        <v>5710.77</v>
      </c>
      <c r="D335" s="42">
        <v>276.26</v>
      </c>
      <c r="E335" s="39">
        <f>C335/B335*100</f>
        <v>171.38599866150878</v>
      </c>
    </row>
    <row r="336" spans="1:5">
      <c r="A336" s="40" t="s">
        <v>51</v>
      </c>
      <c r="B336" s="41">
        <v>28672.49</v>
      </c>
      <c r="C336" s="41">
        <v>49231.360000000001</v>
      </c>
      <c r="D336" s="42">
        <v>2266.7600000000002</v>
      </c>
      <c r="E336" s="39">
        <f>C336/B336*100</f>
        <v>171.70242277528041</v>
      </c>
    </row>
    <row r="337" spans="1:5">
      <c r="A337" s="40" t="s">
        <v>34</v>
      </c>
      <c r="B337" s="41">
        <v>0</v>
      </c>
      <c r="C337" s="41">
        <v>38768.67</v>
      </c>
      <c r="D337" s="42">
        <v>2049.87</v>
      </c>
      <c r="E337" s="39"/>
    </row>
    <row r="338" spans="1:5">
      <c r="A338" s="40" t="s">
        <v>35</v>
      </c>
      <c r="B338" s="41">
        <v>122715.78</v>
      </c>
      <c r="C338" s="41">
        <v>90978.28</v>
      </c>
      <c r="D338" s="42">
        <v>62591.16</v>
      </c>
      <c r="E338" s="39">
        <f>C338/B338*100</f>
        <v>74.13739292534342</v>
      </c>
    </row>
    <row r="339" spans="1:5">
      <c r="A339" s="40" t="s">
        <v>44</v>
      </c>
      <c r="B339" s="41">
        <v>0</v>
      </c>
      <c r="C339" s="41">
        <v>-4.8899999999999997</v>
      </c>
      <c r="D339" s="42">
        <v>9.52</v>
      </c>
      <c r="E339" s="39"/>
    </row>
    <row r="340" spans="1:5">
      <c r="A340" s="40" t="s">
        <v>50</v>
      </c>
      <c r="B340" s="41">
        <v>5149.99</v>
      </c>
      <c r="C340" s="41">
        <v>8789.3700000000008</v>
      </c>
      <c r="D340" s="42">
        <v>423.8</v>
      </c>
      <c r="E340" s="39">
        <f t="shared" ref="E340:E345" si="11">C340/B340*100</f>
        <v>170.66771003438842</v>
      </c>
    </row>
    <row r="341" spans="1:5">
      <c r="A341" s="40" t="s">
        <v>36</v>
      </c>
      <c r="B341" s="41">
        <v>15490.8</v>
      </c>
      <c r="C341" s="41">
        <v>11532.26</v>
      </c>
      <c r="D341" s="42">
        <v>8019.07</v>
      </c>
      <c r="E341" s="39">
        <f t="shared" si="11"/>
        <v>74.445864642239272</v>
      </c>
    </row>
    <row r="342" spans="1:5">
      <c r="A342" s="40" t="s">
        <v>37</v>
      </c>
      <c r="B342" s="41">
        <v>7717.93</v>
      </c>
      <c r="C342" s="41">
        <v>13200.84</v>
      </c>
      <c r="D342" s="42">
        <v>606.32000000000005</v>
      </c>
      <c r="E342" s="39">
        <f t="shared" si="11"/>
        <v>171.04119887068163</v>
      </c>
    </row>
    <row r="343" spans="1:5">
      <c r="A343" s="40" t="s">
        <v>41</v>
      </c>
      <c r="B343" s="41">
        <v>12351.72</v>
      </c>
      <c r="C343" s="41">
        <v>21099.18</v>
      </c>
      <c r="D343" s="42">
        <v>982.22</v>
      </c>
      <c r="E343" s="39">
        <f t="shared" si="11"/>
        <v>170.81977246893553</v>
      </c>
    </row>
    <row r="344" spans="1:5">
      <c r="A344" s="40" t="s">
        <v>33</v>
      </c>
      <c r="B344" s="41">
        <v>16245.78</v>
      </c>
      <c r="C344" s="41">
        <v>12044.53</v>
      </c>
      <c r="D344" s="42">
        <v>8420.9699999999993</v>
      </c>
      <c r="E344" s="39">
        <f t="shared" si="11"/>
        <v>74.139438057144687</v>
      </c>
    </row>
    <row r="345" spans="1:5">
      <c r="A345" s="43" t="s">
        <v>45</v>
      </c>
      <c r="B345" s="44">
        <v>212211.81</v>
      </c>
      <c r="C345" s="44">
        <v>252252.31</v>
      </c>
      <c r="D345" s="45">
        <v>85687.83</v>
      </c>
      <c r="E345" s="46">
        <f t="shared" si="11"/>
        <v>118.86817703501045</v>
      </c>
    </row>
    <row r="346" spans="1:5">
      <c r="A346" s="54" t="s">
        <v>117</v>
      </c>
      <c r="B346" s="54"/>
      <c r="C346" s="54"/>
      <c r="D346" s="54"/>
      <c r="E346" s="39"/>
    </row>
    <row r="347" spans="1:5">
      <c r="A347" s="40" t="s">
        <v>43</v>
      </c>
      <c r="B347" s="41">
        <v>5165.4399999999996</v>
      </c>
      <c r="C347" s="41">
        <v>3558.64</v>
      </c>
      <c r="D347" s="42">
        <v>-4178.2299999999996</v>
      </c>
      <c r="E347" s="39">
        <f>C347/B347*100</f>
        <v>68.893259819105452</v>
      </c>
    </row>
    <row r="348" spans="1:5">
      <c r="A348" s="40" t="s">
        <v>35</v>
      </c>
      <c r="B348" s="41">
        <v>122713.29</v>
      </c>
      <c r="C348" s="41">
        <v>68444.75</v>
      </c>
      <c r="D348" s="42">
        <v>62954.03</v>
      </c>
      <c r="E348" s="39">
        <f>C348/B348*100</f>
        <v>55.776151059106972</v>
      </c>
    </row>
    <row r="349" spans="1:5">
      <c r="A349" s="40" t="s">
        <v>34</v>
      </c>
      <c r="B349" s="41">
        <v>0</v>
      </c>
      <c r="C349" s="41">
        <v>0</v>
      </c>
      <c r="D349" s="42">
        <v>0</v>
      </c>
      <c r="E349" s="39"/>
    </row>
    <row r="350" spans="1:5">
      <c r="A350" s="40" t="s">
        <v>41</v>
      </c>
      <c r="B350" s="41">
        <v>15922.39</v>
      </c>
      <c r="C350" s="41">
        <v>11470.63</v>
      </c>
      <c r="D350" s="42">
        <v>6206.69</v>
      </c>
      <c r="E350" s="39">
        <f t="shared" ref="E350:E355" si="12">C350/B350*100</f>
        <v>72.040880797417969</v>
      </c>
    </row>
    <row r="351" spans="1:5">
      <c r="A351" s="40" t="s">
        <v>36</v>
      </c>
      <c r="B351" s="41">
        <v>14983.19</v>
      </c>
      <c r="C351" s="41">
        <v>9490.76</v>
      </c>
      <c r="D351" s="42">
        <v>7967</v>
      </c>
      <c r="E351" s="39">
        <f t="shared" si="12"/>
        <v>63.342719407549396</v>
      </c>
    </row>
    <row r="352" spans="1:5">
      <c r="A352" s="40" t="s">
        <v>37</v>
      </c>
      <c r="B352" s="41">
        <v>11324.39</v>
      </c>
      <c r="C352" s="41">
        <v>8836.99</v>
      </c>
      <c r="D352" s="42">
        <v>3831.89</v>
      </c>
      <c r="E352" s="39">
        <f t="shared" si="12"/>
        <v>78.035019987831575</v>
      </c>
    </row>
    <row r="353" spans="1:5">
      <c r="A353" s="40" t="s">
        <v>33</v>
      </c>
      <c r="B353" s="41">
        <v>16730.11</v>
      </c>
      <c r="C353" s="41">
        <v>10301.58</v>
      </c>
      <c r="D353" s="42">
        <v>9008.59</v>
      </c>
      <c r="E353" s="39">
        <f t="shared" si="12"/>
        <v>61.575088268995238</v>
      </c>
    </row>
    <row r="354" spans="1:5">
      <c r="A354" s="40" t="s">
        <v>50</v>
      </c>
      <c r="B354" s="41">
        <v>5205.3500000000004</v>
      </c>
      <c r="C354" s="41">
        <v>2931.28</v>
      </c>
      <c r="D354" s="42">
        <v>2760.54</v>
      </c>
      <c r="E354" s="39">
        <f t="shared" si="12"/>
        <v>56.312831990163971</v>
      </c>
    </row>
    <row r="355" spans="1:5">
      <c r="A355" s="40" t="s">
        <v>38</v>
      </c>
      <c r="B355" s="41">
        <v>824.73</v>
      </c>
      <c r="C355" s="41">
        <v>573.45000000000005</v>
      </c>
      <c r="D355" s="42">
        <v>365.29</v>
      </c>
      <c r="E355" s="39">
        <f t="shared" si="12"/>
        <v>69.531846786220953</v>
      </c>
    </row>
    <row r="356" spans="1:5">
      <c r="A356" s="40" t="s">
        <v>44</v>
      </c>
      <c r="B356" s="41">
        <v>0</v>
      </c>
      <c r="C356" s="41">
        <v>-2587.5500000000002</v>
      </c>
      <c r="D356" s="42">
        <v>0</v>
      </c>
      <c r="E356" s="39"/>
    </row>
    <row r="357" spans="1:5">
      <c r="A357" s="40" t="s">
        <v>51</v>
      </c>
      <c r="B357" s="41">
        <v>28930.36</v>
      </c>
      <c r="C357" s="41">
        <v>16290.88</v>
      </c>
      <c r="D357" s="42">
        <v>15325.01</v>
      </c>
      <c r="E357" s="39">
        <f>C357/B357*100</f>
        <v>56.310671557491851</v>
      </c>
    </row>
    <row r="358" spans="1:5">
      <c r="A358" s="43" t="s">
        <v>45</v>
      </c>
      <c r="B358" s="44">
        <v>221799.25</v>
      </c>
      <c r="C358" s="44">
        <v>129311.41</v>
      </c>
      <c r="D358" s="45">
        <v>104240.81</v>
      </c>
      <c r="E358" s="46">
        <f>C358/B358*100</f>
        <v>58.301103362612814</v>
      </c>
    </row>
    <row r="359" spans="1:5">
      <c r="A359" s="54" t="s">
        <v>118</v>
      </c>
      <c r="B359" s="54"/>
      <c r="C359" s="54"/>
      <c r="D359" s="54"/>
      <c r="E359" s="39"/>
    </row>
    <row r="360" spans="1:5">
      <c r="A360" s="40" t="s">
        <v>36</v>
      </c>
      <c r="B360" s="41">
        <v>0</v>
      </c>
      <c r="C360" s="41">
        <v>0</v>
      </c>
      <c r="D360" s="42">
        <v>-9344.09</v>
      </c>
      <c r="E360" s="39"/>
    </row>
    <row r="361" spans="1:5">
      <c r="A361" s="40" t="s">
        <v>37</v>
      </c>
      <c r="B361" s="41">
        <v>0</v>
      </c>
      <c r="C361" s="41">
        <v>0</v>
      </c>
      <c r="D361" s="42">
        <v>742.58</v>
      </c>
      <c r="E361" s="39"/>
    </row>
    <row r="362" spans="1:5">
      <c r="A362" s="40" t="s">
        <v>35</v>
      </c>
      <c r="B362" s="41">
        <v>0</v>
      </c>
      <c r="C362" s="41">
        <v>0</v>
      </c>
      <c r="D362" s="42">
        <v>4447.6400000000003</v>
      </c>
      <c r="E362" s="39"/>
    </row>
    <row r="363" spans="1:5">
      <c r="A363" s="40" t="s">
        <v>41</v>
      </c>
      <c r="B363" s="41">
        <v>0</v>
      </c>
      <c r="C363" s="41">
        <v>0</v>
      </c>
      <c r="D363" s="42">
        <v>711.4</v>
      </c>
      <c r="E363" s="39"/>
    </row>
    <row r="364" spans="1:5">
      <c r="A364" s="40" t="s">
        <v>38</v>
      </c>
      <c r="B364" s="41">
        <v>0</v>
      </c>
      <c r="C364" s="41">
        <v>0</v>
      </c>
      <c r="D364" s="42">
        <v>54.85</v>
      </c>
      <c r="E364" s="39"/>
    </row>
    <row r="365" spans="1:5">
      <c r="A365" s="40" t="s">
        <v>44</v>
      </c>
      <c r="B365" s="41">
        <v>0</v>
      </c>
      <c r="C365" s="41">
        <v>0</v>
      </c>
      <c r="D365" s="42">
        <v>1243.1300000000001</v>
      </c>
      <c r="E365" s="39"/>
    </row>
    <row r="366" spans="1:5">
      <c r="A366" s="40" t="s">
        <v>34</v>
      </c>
      <c r="B366" s="41">
        <v>0</v>
      </c>
      <c r="C366" s="41">
        <v>0</v>
      </c>
      <c r="D366" s="42">
        <v>165691.07999999999</v>
      </c>
      <c r="E366" s="39"/>
    </row>
    <row r="367" spans="1:5">
      <c r="A367" s="40" t="s">
        <v>43</v>
      </c>
      <c r="B367" s="41">
        <v>0</v>
      </c>
      <c r="C367" s="41">
        <v>0</v>
      </c>
      <c r="D367" s="42">
        <v>398.36</v>
      </c>
      <c r="E367" s="39"/>
    </row>
    <row r="368" spans="1:5">
      <c r="A368" s="43" t="s">
        <v>45</v>
      </c>
      <c r="B368" s="44">
        <v>0</v>
      </c>
      <c r="C368" s="44">
        <v>0</v>
      </c>
      <c r="D368" s="45">
        <v>163944.95000000001</v>
      </c>
      <c r="E368" s="46"/>
    </row>
    <row r="369" spans="1:5">
      <c r="A369" s="54" t="s">
        <v>119</v>
      </c>
      <c r="B369" s="54"/>
      <c r="C369" s="54"/>
      <c r="D369" s="54"/>
      <c r="E369" s="39"/>
    </row>
    <row r="370" spans="1:5">
      <c r="A370" s="40" t="s">
        <v>37</v>
      </c>
      <c r="B370" s="41">
        <v>8889.52</v>
      </c>
      <c r="C370" s="41">
        <v>8917.27</v>
      </c>
      <c r="D370" s="42">
        <v>679.19</v>
      </c>
      <c r="E370" s="39">
        <f>C370/B370*100</f>
        <v>100.31216533626113</v>
      </c>
    </row>
    <row r="371" spans="1:5">
      <c r="A371" s="40" t="s">
        <v>41</v>
      </c>
      <c r="B371" s="41">
        <v>8576.2000000000007</v>
      </c>
      <c r="C371" s="41">
        <v>8594.33</v>
      </c>
      <c r="D371" s="42">
        <v>659.51</v>
      </c>
      <c r="E371" s="39">
        <f>C371/B371*100</f>
        <v>100.21139898789673</v>
      </c>
    </row>
    <row r="372" spans="1:5">
      <c r="A372" s="40" t="s">
        <v>42</v>
      </c>
      <c r="B372" s="41">
        <v>11274.72</v>
      </c>
      <c r="C372" s="41">
        <v>11409.68</v>
      </c>
      <c r="D372" s="42">
        <v>748</v>
      </c>
      <c r="E372" s="39">
        <f>C372/B372*100</f>
        <v>101.19701420523081</v>
      </c>
    </row>
    <row r="373" spans="1:5">
      <c r="A373" s="40" t="s">
        <v>43</v>
      </c>
      <c r="B373" s="41">
        <v>4908.18</v>
      </c>
      <c r="C373" s="41">
        <v>4943.72</v>
      </c>
      <c r="D373" s="42">
        <v>359.64</v>
      </c>
      <c r="E373" s="39">
        <f>C373/B373*100</f>
        <v>100.72409732324405</v>
      </c>
    </row>
    <row r="374" spans="1:5">
      <c r="A374" s="40" t="s">
        <v>44</v>
      </c>
      <c r="B374" s="41">
        <v>0</v>
      </c>
      <c r="C374" s="41">
        <v>-1623.6</v>
      </c>
      <c r="D374" s="42">
        <v>0</v>
      </c>
      <c r="E374" s="39"/>
    </row>
    <row r="375" spans="1:5">
      <c r="A375" s="40" t="s">
        <v>35</v>
      </c>
      <c r="B375" s="41">
        <v>61822.14</v>
      </c>
      <c r="C375" s="41">
        <v>62487.42</v>
      </c>
      <c r="D375" s="42">
        <v>4165.1000000000004</v>
      </c>
      <c r="E375" s="39">
        <f>C375/B375*100</f>
        <v>101.07611933200631</v>
      </c>
    </row>
    <row r="376" spans="1:5">
      <c r="A376" s="40" t="s">
        <v>38</v>
      </c>
      <c r="B376" s="41">
        <v>779.28</v>
      </c>
      <c r="C376" s="41">
        <v>786.64</v>
      </c>
      <c r="D376" s="42">
        <v>56.31</v>
      </c>
      <c r="E376" s="39">
        <f>C376/B376*100</f>
        <v>100.9444615542552</v>
      </c>
    </row>
    <row r="377" spans="1:5">
      <c r="A377" s="40" t="s">
        <v>33</v>
      </c>
      <c r="B377" s="41">
        <v>10996.2</v>
      </c>
      <c r="C377" s="41">
        <v>11952.87</v>
      </c>
      <c r="D377" s="42">
        <v>755.07</v>
      </c>
      <c r="E377" s="39">
        <f>C377/B377*100</f>
        <v>108.70000545643039</v>
      </c>
    </row>
    <row r="378" spans="1:5">
      <c r="A378" s="40" t="s">
        <v>34</v>
      </c>
      <c r="B378" s="41">
        <v>0</v>
      </c>
      <c r="C378" s="41">
        <v>0</v>
      </c>
      <c r="D378" s="42">
        <v>0</v>
      </c>
      <c r="E378" s="39"/>
    </row>
    <row r="379" spans="1:5">
      <c r="A379" s="40" t="s">
        <v>36</v>
      </c>
      <c r="B379" s="41">
        <v>10486.86</v>
      </c>
      <c r="C379" s="41">
        <v>11407.98</v>
      </c>
      <c r="D379" s="42">
        <v>719.3</v>
      </c>
      <c r="E379" s="39">
        <f>C379/B379*100</f>
        <v>108.78356343080769</v>
      </c>
    </row>
    <row r="380" spans="1:5">
      <c r="A380" s="43" t="s">
        <v>45</v>
      </c>
      <c r="B380" s="44">
        <v>117733.1</v>
      </c>
      <c r="C380" s="44">
        <v>118876.31</v>
      </c>
      <c r="D380" s="45">
        <v>8142.12</v>
      </c>
      <c r="E380" s="46">
        <f>C380/B380*100</f>
        <v>100.97101834573283</v>
      </c>
    </row>
    <row r="381" spans="1:5">
      <c r="A381" s="54" t="s">
        <v>120</v>
      </c>
      <c r="B381" s="54"/>
      <c r="C381" s="54"/>
      <c r="D381" s="54"/>
      <c r="E381" s="39"/>
    </row>
    <row r="382" spans="1:5">
      <c r="A382" s="40" t="s">
        <v>35</v>
      </c>
      <c r="B382" s="41">
        <v>0</v>
      </c>
      <c r="C382" s="41">
        <v>0</v>
      </c>
      <c r="D382" s="42">
        <v>9317.85</v>
      </c>
      <c r="E382" s="39"/>
    </row>
    <row r="383" spans="1:5">
      <c r="A383" s="40" t="s">
        <v>34</v>
      </c>
      <c r="B383" s="41">
        <v>0</v>
      </c>
      <c r="C383" s="41">
        <v>0</v>
      </c>
      <c r="D383" s="42">
        <v>635559.06000000006</v>
      </c>
      <c r="E383" s="39"/>
    </row>
    <row r="384" spans="1:5">
      <c r="A384" s="40" t="s">
        <v>43</v>
      </c>
      <c r="B384" s="41">
        <v>0</v>
      </c>
      <c r="C384" s="41">
        <v>-51.64</v>
      </c>
      <c r="D384" s="42">
        <v>782.61</v>
      </c>
      <c r="E384" s="39"/>
    </row>
    <row r="385" spans="1:5">
      <c r="A385" s="40" t="s">
        <v>44</v>
      </c>
      <c r="B385" s="41">
        <v>0</v>
      </c>
      <c r="C385" s="41">
        <v>0</v>
      </c>
      <c r="D385" s="42">
        <v>3547.42</v>
      </c>
      <c r="E385" s="39"/>
    </row>
    <row r="386" spans="1:5">
      <c r="A386" s="40" t="s">
        <v>36</v>
      </c>
      <c r="B386" s="41">
        <v>0</v>
      </c>
      <c r="C386" s="41">
        <v>-460.94</v>
      </c>
      <c r="D386" s="42">
        <v>-1138.27</v>
      </c>
      <c r="E386" s="39"/>
    </row>
    <row r="387" spans="1:5">
      <c r="A387" s="40" t="s">
        <v>37</v>
      </c>
      <c r="B387" s="41">
        <v>0</v>
      </c>
      <c r="C387" s="41">
        <v>-4.71</v>
      </c>
      <c r="D387" s="42">
        <v>1378.94</v>
      </c>
      <c r="E387" s="39"/>
    </row>
    <row r="388" spans="1:5">
      <c r="A388" s="40" t="s">
        <v>38</v>
      </c>
      <c r="B388" s="41">
        <v>0</v>
      </c>
      <c r="C388" s="41">
        <v>51.64</v>
      </c>
      <c r="D388" s="42">
        <v>37.700000000000003</v>
      </c>
      <c r="E388" s="39"/>
    </row>
    <row r="389" spans="1:5">
      <c r="A389" s="40" t="s">
        <v>41</v>
      </c>
      <c r="B389" s="41">
        <v>0</v>
      </c>
      <c r="C389" s="41">
        <v>4.71</v>
      </c>
      <c r="D389" s="42">
        <v>1311.26</v>
      </c>
      <c r="E389" s="39"/>
    </row>
    <row r="390" spans="1:5">
      <c r="A390" s="43" t="s">
        <v>45</v>
      </c>
      <c r="B390" s="44">
        <v>0</v>
      </c>
      <c r="C390" s="44">
        <v>-460.94</v>
      </c>
      <c r="D390" s="45">
        <v>650796.56999999995</v>
      </c>
      <c r="E390" s="46"/>
    </row>
    <row r="391" spans="1:5">
      <c r="A391" s="54" t="s">
        <v>121</v>
      </c>
      <c r="B391" s="54"/>
      <c r="C391" s="54"/>
      <c r="D391" s="54"/>
      <c r="E391" s="39"/>
    </row>
    <row r="392" spans="1:5">
      <c r="A392" s="40" t="s">
        <v>36</v>
      </c>
      <c r="B392" s="41">
        <v>13029</v>
      </c>
      <c r="C392" s="41">
        <v>14710.11</v>
      </c>
      <c r="D392" s="42">
        <v>535.16999999999996</v>
      </c>
      <c r="E392" s="39">
        <f>C392/B392*100</f>
        <v>112.90283214367949</v>
      </c>
    </row>
    <row r="393" spans="1:5">
      <c r="A393" s="40" t="s">
        <v>35</v>
      </c>
      <c r="B393" s="41">
        <v>86944.2</v>
      </c>
      <c r="C393" s="41">
        <v>96249.33</v>
      </c>
      <c r="D393" s="42">
        <v>3507.89</v>
      </c>
      <c r="E393" s="39">
        <f>C393/B393*100</f>
        <v>110.70241603235178</v>
      </c>
    </row>
    <row r="394" spans="1:5">
      <c r="A394" s="40" t="s">
        <v>37</v>
      </c>
      <c r="B394" s="41">
        <v>1587.1</v>
      </c>
      <c r="C394" s="41">
        <v>1844.87</v>
      </c>
      <c r="D394" s="42">
        <v>87</v>
      </c>
      <c r="E394" s="39">
        <f>C394/B394*100</f>
        <v>116.24157267973033</v>
      </c>
    </row>
    <row r="395" spans="1:5">
      <c r="A395" s="40" t="s">
        <v>44</v>
      </c>
      <c r="B395" s="41">
        <v>0</v>
      </c>
      <c r="C395" s="41">
        <v>-472.06</v>
      </c>
      <c r="D395" s="42">
        <v>0</v>
      </c>
      <c r="E395" s="39"/>
    </row>
    <row r="396" spans="1:5">
      <c r="A396" s="40" t="s">
        <v>38</v>
      </c>
      <c r="B396" s="41">
        <v>876.66</v>
      </c>
      <c r="C396" s="41">
        <v>973.97</v>
      </c>
      <c r="D396" s="42">
        <v>33.1</v>
      </c>
      <c r="E396" s="39">
        <f>C396/B396*100</f>
        <v>111.10008441128831</v>
      </c>
    </row>
    <row r="397" spans="1:5">
      <c r="A397" s="53" t="s">
        <v>96</v>
      </c>
      <c r="B397" s="53"/>
      <c r="C397" s="53"/>
      <c r="D397" s="53"/>
      <c r="E397" s="39"/>
    </row>
    <row r="398" spans="1:5">
      <c r="A398" s="36" t="s">
        <v>28</v>
      </c>
      <c r="B398" s="36" t="s">
        <v>29</v>
      </c>
      <c r="C398" s="36" t="s">
        <v>30</v>
      </c>
      <c r="D398" s="37" t="s">
        <v>31</v>
      </c>
      <c r="E398" s="39"/>
    </row>
    <row r="399" spans="1:5">
      <c r="A399" s="40" t="s">
        <v>48</v>
      </c>
      <c r="B399" s="41">
        <v>6611.76</v>
      </c>
      <c r="C399" s="41">
        <v>7331.16</v>
      </c>
      <c r="D399" s="42">
        <v>253.16</v>
      </c>
      <c r="E399" s="39">
        <f>C399/B399*100</f>
        <v>110.88061272641474</v>
      </c>
    </row>
    <row r="400" spans="1:5">
      <c r="A400" s="40" t="s">
        <v>33</v>
      </c>
      <c r="B400" s="41">
        <v>13659.36</v>
      </c>
      <c r="C400" s="41">
        <v>15411.79</v>
      </c>
      <c r="D400" s="42">
        <v>561.59</v>
      </c>
      <c r="E400" s="39">
        <f>C400/B400*100</f>
        <v>112.829517634794</v>
      </c>
    </row>
    <row r="401" spans="1:5">
      <c r="A401" s="40" t="s">
        <v>49</v>
      </c>
      <c r="B401" s="41">
        <v>1437.6</v>
      </c>
      <c r="C401" s="41">
        <v>1594.05</v>
      </c>
      <c r="D401" s="42">
        <v>55.04</v>
      </c>
      <c r="E401" s="39">
        <f>C401/B401*100</f>
        <v>110.88272120200335</v>
      </c>
    </row>
    <row r="402" spans="1:5">
      <c r="A402" s="40" t="s">
        <v>34</v>
      </c>
      <c r="B402" s="41">
        <v>0</v>
      </c>
      <c r="C402" s="41">
        <v>75.64</v>
      </c>
      <c r="D402" s="42">
        <v>0</v>
      </c>
      <c r="E402" s="39"/>
    </row>
    <row r="403" spans="1:5">
      <c r="A403" s="40" t="s">
        <v>43</v>
      </c>
      <c r="B403" s="41">
        <v>5521.68</v>
      </c>
      <c r="C403" s="41">
        <v>6122.48</v>
      </c>
      <c r="D403" s="42">
        <v>211.42</v>
      </c>
      <c r="E403" s="39">
        <f>C403/B403*100</f>
        <v>110.88074643948941</v>
      </c>
    </row>
    <row r="404" spans="1:5">
      <c r="A404" s="40" t="s">
        <v>40</v>
      </c>
      <c r="B404" s="41">
        <v>7559.64</v>
      </c>
      <c r="C404" s="41">
        <v>8644.1299999999992</v>
      </c>
      <c r="D404" s="42">
        <v>629.97</v>
      </c>
      <c r="E404" s="39">
        <f>C404/B404*100</f>
        <v>114.3457889529131</v>
      </c>
    </row>
    <row r="405" spans="1:5">
      <c r="A405" s="40" t="s">
        <v>42</v>
      </c>
      <c r="B405" s="41">
        <v>8296.68</v>
      </c>
      <c r="C405" s="41">
        <v>8946.42</v>
      </c>
      <c r="D405" s="42">
        <v>0</v>
      </c>
      <c r="E405" s="39">
        <f>C405/B405*100</f>
        <v>107.8313253012048</v>
      </c>
    </row>
    <row r="406" spans="1:5">
      <c r="A406" s="43" t="s">
        <v>45</v>
      </c>
      <c r="B406" s="44">
        <v>145523.68</v>
      </c>
      <c r="C406" s="44">
        <v>161431.89000000001</v>
      </c>
      <c r="D406" s="45">
        <v>5874.34</v>
      </c>
      <c r="E406" s="46">
        <f>C406/B406*100</f>
        <v>110.93169853868459</v>
      </c>
    </row>
    <row r="407" spans="1:5">
      <c r="A407" s="54" t="s">
        <v>122</v>
      </c>
      <c r="B407" s="54"/>
      <c r="C407" s="54"/>
      <c r="D407" s="54"/>
      <c r="E407" s="39"/>
    </row>
    <row r="408" spans="1:5">
      <c r="A408" s="40" t="s">
        <v>48</v>
      </c>
      <c r="B408" s="41">
        <v>6197.66</v>
      </c>
      <c r="C408" s="41">
        <v>4041.52</v>
      </c>
      <c r="D408" s="42">
        <v>4967.0200000000004</v>
      </c>
      <c r="E408" s="39">
        <f t="shared" ref="E408:E413" si="13">C408/B408*100</f>
        <v>65.210418125550618</v>
      </c>
    </row>
    <row r="409" spans="1:5">
      <c r="A409" s="40" t="s">
        <v>42</v>
      </c>
      <c r="B409" s="41">
        <v>8207.0400000000009</v>
      </c>
      <c r="C409" s="41">
        <v>8864.48</v>
      </c>
      <c r="D409" s="42">
        <v>454.9</v>
      </c>
      <c r="E409" s="39">
        <f t="shared" si="13"/>
        <v>108.01068351074198</v>
      </c>
    </row>
    <row r="410" spans="1:5">
      <c r="A410" s="40" t="s">
        <v>36</v>
      </c>
      <c r="B410" s="41">
        <v>14035.62</v>
      </c>
      <c r="C410" s="41">
        <v>9149.9</v>
      </c>
      <c r="D410" s="42">
        <v>11344.42</v>
      </c>
      <c r="E410" s="39">
        <f t="shared" si="13"/>
        <v>65.190565147816756</v>
      </c>
    </row>
    <row r="411" spans="1:5">
      <c r="A411" s="40" t="s">
        <v>40</v>
      </c>
      <c r="B411" s="41">
        <v>8874.36</v>
      </c>
      <c r="C411" s="41">
        <v>1746.26</v>
      </c>
      <c r="D411" s="42">
        <v>14410.46</v>
      </c>
      <c r="E411" s="39">
        <f t="shared" si="13"/>
        <v>19.677588017614788</v>
      </c>
    </row>
    <row r="412" spans="1:5">
      <c r="A412" s="40" t="s">
        <v>33</v>
      </c>
      <c r="B412" s="41">
        <v>14714.7</v>
      </c>
      <c r="C412" s="41">
        <v>9580.31</v>
      </c>
      <c r="D412" s="42">
        <v>11846.84</v>
      </c>
      <c r="E412" s="39">
        <f t="shared" si="13"/>
        <v>65.107069800947343</v>
      </c>
    </row>
    <row r="413" spans="1:5">
      <c r="A413" s="40" t="s">
        <v>49</v>
      </c>
      <c r="B413" s="41">
        <v>1347.56</v>
      </c>
      <c r="C413" s="41">
        <v>878.74</v>
      </c>
      <c r="D413" s="42">
        <v>1079.99</v>
      </c>
      <c r="E413" s="39">
        <f t="shared" si="13"/>
        <v>65.209712369022526</v>
      </c>
    </row>
    <row r="414" spans="1:5">
      <c r="A414" s="40" t="s">
        <v>34</v>
      </c>
      <c r="B414" s="41">
        <v>0</v>
      </c>
      <c r="C414" s="41">
        <v>18054.43</v>
      </c>
      <c r="D414" s="42">
        <v>149710.18</v>
      </c>
      <c r="E414" s="39"/>
    </row>
    <row r="415" spans="1:5">
      <c r="A415" s="40" t="s">
        <v>37</v>
      </c>
      <c r="B415" s="41">
        <v>2161.67</v>
      </c>
      <c r="C415" s="41">
        <v>1306.0899999999999</v>
      </c>
      <c r="D415" s="42">
        <v>1778.5</v>
      </c>
      <c r="E415" s="39">
        <f>C415/B415*100</f>
        <v>60.420415697123055</v>
      </c>
    </row>
    <row r="416" spans="1:5">
      <c r="A416" s="40" t="s">
        <v>35</v>
      </c>
      <c r="B416" s="41">
        <v>93661.56</v>
      </c>
      <c r="C416" s="41">
        <v>53022.8</v>
      </c>
      <c r="D416" s="42">
        <v>82526.41</v>
      </c>
      <c r="E416" s="39">
        <f>C416/B416*100</f>
        <v>56.611057940952513</v>
      </c>
    </row>
    <row r="417" spans="1:5">
      <c r="A417" s="40" t="s">
        <v>38</v>
      </c>
      <c r="B417" s="41">
        <v>821.22</v>
      </c>
      <c r="C417" s="41">
        <v>494.79</v>
      </c>
      <c r="D417" s="42">
        <v>664.22</v>
      </c>
      <c r="E417" s="39">
        <f>C417/B417*100</f>
        <v>60.250602761744723</v>
      </c>
    </row>
    <row r="418" spans="1:5">
      <c r="A418" s="40" t="s">
        <v>43</v>
      </c>
      <c r="B418" s="41">
        <v>5175.83</v>
      </c>
      <c r="C418" s="41">
        <v>3123.22</v>
      </c>
      <c r="D418" s="42">
        <v>4255.63</v>
      </c>
      <c r="E418" s="39">
        <f>C418/B418*100</f>
        <v>60.342399190081586</v>
      </c>
    </row>
    <row r="419" spans="1:5">
      <c r="A419" s="40" t="s">
        <v>44</v>
      </c>
      <c r="B419" s="41">
        <v>0</v>
      </c>
      <c r="C419" s="41">
        <v>-594.41</v>
      </c>
      <c r="D419" s="42">
        <v>1634.35</v>
      </c>
      <c r="E419" s="39"/>
    </row>
    <row r="420" spans="1:5">
      <c r="A420" s="43" t="s">
        <v>45</v>
      </c>
      <c r="B420" s="44">
        <v>155197.22</v>
      </c>
      <c r="C420" s="44">
        <v>109668.13</v>
      </c>
      <c r="D420" s="45">
        <v>284672.92</v>
      </c>
      <c r="E420" s="46">
        <f>C420/B420*100</f>
        <v>70.663720651697247</v>
      </c>
    </row>
    <row r="421" spans="1:5">
      <c r="A421" s="54" t="s">
        <v>123</v>
      </c>
      <c r="B421" s="54"/>
      <c r="C421" s="54"/>
      <c r="D421" s="54"/>
      <c r="E421" s="39"/>
    </row>
    <row r="422" spans="1:5">
      <c r="A422" s="40" t="s">
        <v>36</v>
      </c>
      <c r="B422" s="41">
        <v>9141.5400000000009</v>
      </c>
      <c r="C422" s="41">
        <v>9860.15</v>
      </c>
      <c r="D422" s="42">
        <v>904.03</v>
      </c>
      <c r="E422" s="39">
        <f>C422/B422*100</f>
        <v>107.86092934013305</v>
      </c>
    </row>
    <row r="423" spans="1:5">
      <c r="A423" s="40" t="s">
        <v>44</v>
      </c>
      <c r="B423" s="41">
        <v>0</v>
      </c>
      <c r="C423" s="41">
        <v>-951.14</v>
      </c>
      <c r="D423" s="42">
        <v>0.22</v>
      </c>
      <c r="E423" s="39"/>
    </row>
    <row r="424" spans="1:5">
      <c r="A424" s="40" t="s">
        <v>49</v>
      </c>
      <c r="B424" s="41">
        <v>638.88</v>
      </c>
      <c r="C424" s="41">
        <v>360.28</v>
      </c>
      <c r="D424" s="42">
        <v>66.239999999999995</v>
      </c>
      <c r="E424" s="39">
        <f>C424/B424*100</f>
        <v>56.392436764337582</v>
      </c>
    </row>
    <row r="425" spans="1:5">
      <c r="A425" s="40" t="s">
        <v>37</v>
      </c>
      <c r="B425" s="41">
        <v>1025.76</v>
      </c>
      <c r="C425" s="41">
        <v>881.93</v>
      </c>
      <c r="D425" s="42">
        <v>106.27</v>
      </c>
      <c r="E425" s="39">
        <f>C425/B425*100</f>
        <v>85.978201528622677</v>
      </c>
    </row>
    <row r="426" spans="1:5">
      <c r="A426" s="40" t="s">
        <v>32</v>
      </c>
      <c r="B426" s="41">
        <v>9242.1</v>
      </c>
      <c r="C426" s="41">
        <v>9773.44</v>
      </c>
      <c r="D426" s="42">
        <v>919.13</v>
      </c>
      <c r="E426" s="39">
        <f>C426/B426*100</f>
        <v>105.74912628082362</v>
      </c>
    </row>
    <row r="427" spans="1:5">
      <c r="A427" s="40" t="s">
        <v>43</v>
      </c>
      <c r="B427" s="41">
        <v>2454.12</v>
      </c>
      <c r="C427" s="41">
        <v>2519.79</v>
      </c>
      <c r="D427" s="42">
        <v>294.16000000000003</v>
      </c>
      <c r="E427" s="39">
        <f>C427/B427*100</f>
        <v>102.67590826854433</v>
      </c>
    </row>
    <row r="428" spans="1:5">
      <c r="A428" s="40" t="s">
        <v>48</v>
      </c>
      <c r="B428" s="41">
        <v>2938.56</v>
      </c>
      <c r="C428" s="41">
        <v>3068.03</v>
      </c>
      <c r="D428" s="42">
        <v>307.29000000000002</v>
      </c>
      <c r="E428" s="39">
        <f>C428/B428*100</f>
        <v>104.4058994881847</v>
      </c>
    </row>
    <row r="429" spans="1:5">
      <c r="A429" s="40" t="s">
        <v>34</v>
      </c>
      <c r="B429" s="41">
        <v>0</v>
      </c>
      <c r="C429" s="41">
        <v>-492.32</v>
      </c>
      <c r="D429" s="42">
        <v>0</v>
      </c>
      <c r="E429" s="39"/>
    </row>
    <row r="430" spans="1:5">
      <c r="A430" s="40" t="s">
        <v>35</v>
      </c>
      <c r="B430" s="41">
        <v>61002.96</v>
      </c>
      <c r="C430" s="41">
        <v>62118.66</v>
      </c>
      <c r="D430" s="42">
        <v>6575.19</v>
      </c>
      <c r="E430" s="39">
        <f>C430/B430*100</f>
        <v>101.82892764547819</v>
      </c>
    </row>
    <row r="431" spans="1:5">
      <c r="A431" s="40" t="s">
        <v>42</v>
      </c>
      <c r="B431" s="41">
        <v>11125.32</v>
      </c>
      <c r="C431" s="41">
        <v>11531.39</v>
      </c>
      <c r="D431" s="42">
        <v>1066.72</v>
      </c>
      <c r="E431" s="39">
        <f>C431/B431*100</f>
        <v>103.649962428047</v>
      </c>
    </row>
    <row r="432" spans="1:5">
      <c r="A432" s="40" t="s">
        <v>33</v>
      </c>
      <c r="B432" s="41">
        <v>9583.86</v>
      </c>
      <c r="C432" s="41">
        <v>10150.5</v>
      </c>
      <c r="D432" s="42">
        <v>949.58</v>
      </c>
      <c r="E432" s="39">
        <f>C432/B432*100</f>
        <v>105.91244029023797</v>
      </c>
    </row>
    <row r="433" spans="1:5">
      <c r="A433" s="40" t="s">
        <v>38</v>
      </c>
      <c r="B433" s="41">
        <v>389.7</v>
      </c>
      <c r="C433" s="41">
        <v>107.44</v>
      </c>
      <c r="D433" s="42">
        <v>-39.5</v>
      </c>
      <c r="E433" s="39">
        <f>C433/B433*100</f>
        <v>27.569925583782396</v>
      </c>
    </row>
    <row r="434" spans="1:5">
      <c r="A434" s="43" t="s">
        <v>45</v>
      </c>
      <c r="B434" s="44">
        <v>107542.8</v>
      </c>
      <c r="C434" s="44">
        <v>108928.15</v>
      </c>
      <c r="D434" s="45">
        <v>11149.33</v>
      </c>
      <c r="E434" s="46">
        <f>C434/B434*100</f>
        <v>101.28818479712263</v>
      </c>
    </row>
    <row r="435" spans="1:5">
      <c r="A435" s="54" t="s">
        <v>124</v>
      </c>
      <c r="B435" s="54"/>
      <c r="C435" s="54"/>
      <c r="D435" s="54"/>
      <c r="E435" s="39"/>
    </row>
    <row r="436" spans="1:5">
      <c r="A436" s="40" t="s">
        <v>35</v>
      </c>
      <c r="B436" s="41">
        <v>92951.58</v>
      </c>
      <c r="C436" s="41">
        <v>50112.15</v>
      </c>
      <c r="D436" s="42">
        <v>50102.07</v>
      </c>
      <c r="E436" s="39">
        <f>C436/B436*100</f>
        <v>53.912101332758411</v>
      </c>
    </row>
    <row r="437" spans="1:5">
      <c r="A437" s="40" t="s">
        <v>38</v>
      </c>
      <c r="B437" s="41">
        <v>296.18</v>
      </c>
      <c r="C437" s="41">
        <v>292.11</v>
      </c>
      <c r="D437" s="42">
        <v>51.83</v>
      </c>
      <c r="E437" s="39">
        <f>C437/B437*100</f>
        <v>98.625835640488887</v>
      </c>
    </row>
    <row r="438" spans="1:5">
      <c r="A438" s="40" t="s">
        <v>44</v>
      </c>
      <c r="B438" s="41">
        <v>0</v>
      </c>
      <c r="C438" s="41">
        <v>-1081</v>
      </c>
      <c r="D438" s="42">
        <v>0</v>
      </c>
      <c r="E438" s="39"/>
    </row>
    <row r="439" spans="1:5">
      <c r="A439" s="40" t="s">
        <v>36</v>
      </c>
      <c r="B439" s="41">
        <v>13929.17</v>
      </c>
      <c r="C439" s="41">
        <v>8465.0300000000007</v>
      </c>
      <c r="D439" s="42">
        <v>7384.01</v>
      </c>
      <c r="E439" s="39">
        <f>C439/B439*100</f>
        <v>60.77196272283274</v>
      </c>
    </row>
    <row r="440" spans="1:5">
      <c r="A440" s="40" t="s">
        <v>37</v>
      </c>
      <c r="B440" s="41">
        <v>780.91</v>
      </c>
      <c r="C440" s="41">
        <v>770.27</v>
      </c>
      <c r="D440" s="42">
        <v>136.58000000000001</v>
      </c>
      <c r="E440" s="39">
        <f>C440/B440*100</f>
        <v>98.637487034357349</v>
      </c>
    </row>
    <row r="441" spans="1:5">
      <c r="A441" s="40" t="s">
        <v>34</v>
      </c>
      <c r="B441" s="41">
        <v>0</v>
      </c>
      <c r="C441" s="41">
        <v>-1498.69</v>
      </c>
      <c r="D441" s="42">
        <v>0</v>
      </c>
      <c r="E441" s="39"/>
    </row>
    <row r="442" spans="1:5">
      <c r="A442" s="40" t="s">
        <v>43</v>
      </c>
      <c r="B442" s="41">
        <v>1840.02</v>
      </c>
      <c r="C442" s="41">
        <v>1812.73</v>
      </c>
      <c r="D442" s="42">
        <v>323.67</v>
      </c>
      <c r="E442" s="39">
        <f t="shared" ref="E442:E447" si="14">C442/B442*100</f>
        <v>98.516863947131</v>
      </c>
    </row>
    <row r="443" spans="1:5">
      <c r="A443" s="40" t="s">
        <v>48</v>
      </c>
      <c r="B443" s="41">
        <v>2203.3200000000002</v>
      </c>
      <c r="C443" s="41">
        <v>2253.1799999999998</v>
      </c>
      <c r="D443" s="42">
        <v>429.64</v>
      </c>
      <c r="E443" s="39">
        <f t="shared" si="14"/>
        <v>102.26294864114153</v>
      </c>
    </row>
    <row r="444" spans="1:5">
      <c r="A444" s="40" t="s">
        <v>32</v>
      </c>
      <c r="B444" s="41">
        <v>14082.37</v>
      </c>
      <c r="C444" s="41">
        <v>8538.4500000000007</v>
      </c>
      <c r="D444" s="42">
        <v>7473.33</v>
      </c>
      <c r="E444" s="39">
        <f t="shared" si="14"/>
        <v>60.632194722905311</v>
      </c>
    </row>
    <row r="445" spans="1:5">
      <c r="A445" s="40" t="s">
        <v>49</v>
      </c>
      <c r="B445" s="41">
        <v>479.03</v>
      </c>
      <c r="C445" s="41">
        <v>489.87</v>
      </c>
      <c r="D445" s="42">
        <v>93.41</v>
      </c>
      <c r="E445" s="39">
        <f t="shared" si="14"/>
        <v>102.26290628979397</v>
      </c>
    </row>
    <row r="446" spans="1:5">
      <c r="A446" s="40" t="s">
        <v>33</v>
      </c>
      <c r="B446" s="41">
        <v>14603.16</v>
      </c>
      <c r="C446" s="41">
        <v>8862.43</v>
      </c>
      <c r="D446" s="42">
        <v>7747.28</v>
      </c>
      <c r="E446" s="39">
        <f t="shared" si="14"/>
        <v>60.688440036266122</v>
      </c>
    </row>
    <row r="447" spans="1:5">
      <c r="A447" s="43" t="s">
        <v>45</v>
      </c>
      <c r="B447" s="44">
        <v>141165.74</v>
      </c>
      <c r="C447" s="44">
        <v>79016.53</v>
      </c>
      <c r="D447" s="45">
        <v>73741.820000000007</v>
      </c>
      <c r="E447" s="46">
        <f t="shared" si="14"/>
        <v>55.974296596327136</v>
      </c>
    </row>
    <row r="448" spans="1:5">
      <c r="A448" s="54" t="s">
        <v>125</v>
      </c>
      <c r="B448" s="54"/>
      <c r="C448" s="54"/>
      <c r="D448" s="54"/>
      <c r="E448" s="39"/>
    </row>
    <row r="449" spans="1:5">
      <c r="A449" s="40" t="s">
        <v>43</v>
      </c>
      <c r="B449" s="41">
        <v>3374.49</v>
      </c>
      <c r="C449" s="41">
        <v>3491.22</v>
      </c>
      <c r="D449" s="42">
        <v>415.05</v>
      </c>
      <c r="E449" s="39">
        <f>C449/B449*100</f>
        <v>103.45918938861874</v>
      </c>
    </row>
    <row r="450" spans="1:5">
      <c r="A450" s="40" t="s">
        <v>44</v>
      </c>
      <c r="B450" s="41">
        <v>0</v>
      </c>
      <c r="C450" s="41">
        <v>-2043.89</v>
      </c>
      <c r="D450" s="42">
        <v>15.65</v>
      </c>
      <c r="E450" s="39"/>
    </row>
    <row r="451" spans="1:5">
      <c r="A451" s="40" t="s">
        <v>38</v>
      </c>
      <c r="B451" s="41">
        <v>535.16</v>
      </c>
      <c r="C451" s="41">
        <v>555.07000000000005</v>
      </c>
      <c r="D451" s="42">
        <v>65.209999999999994</v>
      </c>
      <c r="E451" s="39">
        <f>C451/B451*100</f>
        <v>103.72038268928921</v>
      </c>
    </row>
    <row r="452" spans="1:5">
      <c r="A452" s="40" t="s">
        <v>34</v>
      </c>
      <c r="B452" s="41">
        <v>0</v>
      </c>
      <c r="C452" s="41">
        <v>0.64</v>
      </c>
      <c r="D452" s="42">
        <v>0</v>
      </c>
      <c r="E452" s="39"/>
    </row>
    <row r="453" spans="1:5">
      <c r="A453" s="40" t="s">
        <v>35</v>
      </c>
      <c r="B453" s="41">
        <v>80281.320000000007</v>
      </c>
      <c r="C453" s="41">
        <v>85529.4</v>
      </c>
      <c r="D453" s="42">
        <v>9948.3700000000008</v>
      </c>
      <c r="E453" s="39">
        <f t="shared" ref="E453:E459" si="15">C453/B453*100</f>
        <v>106.53711224479116</v>
      </c>
    </row>
    <row r="454" spans="1:5">
      <c r="A454" s="40" t="s">
        <v>37</v>
      </c>
      <c r="B454" s="41">
        <v>7010.32</v>
      </c>
      <c r="C454" s="41">
        <v>7299.45</v>
      </c>
      <c r="D454" s="42">
        <v>815.34</v>
      </c>
      <c r="E454" s="39">
        <f t="shared" si="15"/>
        <v>104.1243481039382</v>
      </c>
    </row>
    <row r="455" spans="1:5">
      <c r="A455" s="40" t="s">
        <v>41</v>
      </c>
      <c r="B455" s="41">
        <v>6766.62</v>
      </c>
      <c r="C455" s="41">
        <v>7035.06</v>
      </c>
      <c r="D455" s="42">
        <v>790.27</v>
      </c>
      <c r="E455" s="39">
        <f t="shared" si="15"/>
        <v>103.96712095551399</v>
      </c>
    </row>
    <row r="456" spans="1:5">
      <c r="A456" s="40" t="s">
        <v>33</v>
      </c>
      <c r="B456" s="41">
        <v>13704.9</v>
      </c>
      <c r="C456" s="41">
        <v>15604.05</v>
      </c>
      <c r="D456" s="42">
        <v>1681.03</v>
      </c>
      <c r="E456" s="39">
        <f t="shared" si="15"/>
        <v>113.85745244401637</v>
      </c>
    </row>
    <row r="457" spans="1:5">
      <c r="A457" s="40" t="s">
        <v>42</v>
      </c>
      <c r="B457" s="41">
        <v>14641.2</v>
      </c>
      <c r="C457" s="41">
        <v>16511.23</v>
      </c>
      <c r="D457" s="42">
        <v>1890.08</v>
      </c>
      <c r="E457" s="39">
        <f t="shared" si="15"/>
        <v>112.77238204518754</v>
      </c>
    </row>
    <row r="458" spans="1:5">
      <c r="A458" s="40" t="s">
        <v>36</v>
      </c>
      <c r="B458" s="41">
        <v>13426.26</v>
      </c>
      <c r="C458" s="41">
        <v>15345.09</v>
      </c>
      <c r="D458" s="42">
        <v>1656.17</v>
      </c>
      <c r="E458" s="39">
        <f t="shared" si="15"/>
        <v>114.29161955749404</v>
      </c>
    </row>
    <row r="459" spans="1:5">
      <c r="A459" s="43" t="s">
        <v>45</v>
      </c>
      <c r="B459" s="44">
        <v>139740.26999999999</v>
      </c>
      <c r="C459" s="44">
        <v>149327.32</v>
      </c>
      <c r="D459" s="45">
        <v>17277.169999999998</v>
      </c>
      <c r="E459" s="46">
        <f t="shared" si="15"/>
        <v>106.86062077882062</v>
      </c>
    </row>
    <row r="460" spans="1:5">
      <c r="A460" s="54" t="s">
        <v>126</v>
      </c>
      <c r="B460" s="54"/>
      <c r="C460" s="54"/>
      <c r="D460" s="54"/>
      <c r="E460" s="39"/>
    </row>
    <row r="461" spans="1:5">
      <c r="A461" s="40" t="s">
        <v>33</v>
      </c>
      <c r="B461" s="41">
        <v>33443.519999999997</v>
      </c>
      <c r="C461" s="41">
        <v>38542.800000000003</v>
      </c>
      <c r="D461" s="42">
        <v>2768.69</v>
      </c>
      <c r="E461" s="39">
        <f>C461/B461*100</f>
        <v>115.24743806872007</v>
      </c>
    </row>
    <row r="462" spans="1:5">
      <c r="A462" s="40" t="s">
        <v>38</v>
      </c>
      <c r="B462" s="41">
        <v>2143.08</v>
      </c>
      <c r="C462" s="41">
        <v>2101.12</v>
      </c>
      <c r="D462" s="42">
        <v>183.92</v>
      </c>
      <c r="E462" s="39">
        <f>C462/B462*100</f>
        <v>98.042070291356367</v>
      </c>
    </row>
    <row r="463" spans="1:5">
      <c r="A463" s="40" t="s">
        <v>34</v>
      </c>
      <c r="B463" s="41">
        <v>0</v>
      </c>
      <c r="C463" s="41">
        <v>14036.46</v>
      </c>
      <c r="D463" s="42">
        <v>0</v>
      </c>
      <c r="E463" s="39"/>
    </row>
    <row r="464" spans="1:5">
      <c r="A464" s="40" t="s">
        <v>35</v>
      </c>
      <c r="B464" s="41">
        <v>176673.54</v>
      </c>
      <c r="C464" s="41">
        <v>187435.21</v>
      </c>
      <c r="D464" s="42">
        <v>15112.19</v>
      </c>
      <c r="E464" s="39">
        <f>C464/B464*100</f>
        <v>106.09127433570413</v>
      </c>
    </row>
    <row r="465" spans="1:5">
      <c r="A465" s="40" t="s">
        <v>42</v>
      </c>
      <c r="B465" s="41">
        <v>25437.84</v>
      </c>
      <c r="C465" s="41">
        <v>25495.35</v>
      </c>
      <c r="D465" s="42">
        <v>2034.12</v>
      </c>
      <c r="E465" s="39">
        <f>C465/B465*100</f>
        <v>100.22608051627024</v>
      </c>
    </row>
    <row r="466" spans="1:5">
      <c r="A466" s="53" t="s">
        <v>96</v>
      </c>
      <c r="B466" s="53"/>
      <c r="C466" s="53"/>
      <c r="D466" s="53"/>
      <c r="E466" s="39"/>
    </row>
    <row r="467" spans="1:5">
      <c r="A467" s="36" t="s">
        <v>28</v>
      </c>
      <c r="B467" s="36" t="s">
        <v>29</v>
      </c>
      <c r="C467" s="36" t="s">
        <v>30</v>
      </c>
      <c r="D467" s="37" t="s">
        <v>31</v>
      </c>
      <c r="E467" s="39"/>
    </row>
    <row r="468" spans="1:5">
      <c r="A468" s="40" t="s">
        <v>36</v>
      </c>
      <c r="B468" s="41">
        <v>31890.78</v>
      </c>
      <c r="C468" s="41">
        <v>36826.33</v>
      </c>
      <c r="D468" s="42">
        <v>2636.35</v>
      </c>
      <c r="E468" s="39">
        <f>C468/B468*100</f>
        <v>115.47641669473121</v>
      </c>
    </row>
    <row r="469" spans="1:5">
      <c r="A469" s="40" t="s">
        <v>44</v>
      </c>
      <c r="B469" s="41">
        <v>0</v>
      </c>
      <c r="C469" s="41">
        <v>-5266.58</v>
      </c>
      <c r="D469" s="42">
        <v>0.49</v>
      </c>
      <c r="E469" s="39"/>
    </row>
    <row r="470" spans="1:5">
      <c r="A470" s="40" t="s">
        <v>43</v>
      </c>
      <c r="B470" s="41">
        <v>13497.36</v>
      </c>
      <c r="C470" s="41">
        <v>15358.37</v>
      </c>
      <c r="D470" s="42">
        <v>1176.03</v>
      </c>
      <c r="E470" s="39">
        <f>C470/B470*100</f>
        <v>113.78795557057084</v>
      </c>
    </row>
    <row r="471" spans="1:5">
      <c r="A471" s="40" t="s">
        <v>41</v>
      </c>
      <c r="B471" s="41">
        <v>33248.92</v>
      </c>
      <c r="C471" s="41">
        <v>37643.949999999997</v>
      </c>
      <c r="D471" s="42">
        <v>3524.8</v>
      </c>
      <c r="E471" s="39">
        <f>C471/B471*100</f>
        <v>113.21856469322913</v>
      </c>
    </row>
    <row r="472" spans="1:5">
      <c r="A472" s="40" t="s">
        <v>40</v>
      </c>
      <c r="B472" s="41">
        <v>6782.76</v>
      </c>
      <c r="C472" s="41">
        <v>8704.5400000000009</v>
      </c>
      <c r="D472" s="42">
        <v>563.55999999999995</v>
      </c>
      <c r="E472" s="39">
        <f>C472/B472*100</f>
        <v>128.33330384681162</v>
      </c>
    </row>
    <row r="473" spans="1:5">
      <c r="A473" s="40" t="s">
        <v>37</v>
      </c>
      <c r="B473" s="41">
        <v>34457.910000000003</v>
      </c>
      <c r="C473" s="41">
        <v>39096.67</v>
      </c>
      <c r="D473" s="42">
        <v>3624.75</v>
      </c>
      <c r="E473" s="39">
        <f>C473/B473*100</f>
        <v>113.46210492743174</v>
      </c>
    </row>
    <row r="474" spans="1:5">
      <c r="A474" s="43" t="s">
        <v>45</v>
      </c>
      <c r="B474" s="44">
        <v>357575.71</v>
      </c>
      <c r="C474" s="44">
        <v>399974.22</v>
      </c>
      <c r="D474" s="45">
        <v>31624.9</v>
      </c>
      <c r="E474" s="46">
        <f>C474/B474*100</f>
        <v>111.85721200134091</v>
      </c>
    </row>
    <row r="475" spans="1:5">
      <c r="A475" s="54" t="s">
        <v>127</v>
      </c>
      <c r="B475" s="54"/>
      <c r="C475" s="54"/>
      <c r="D475" s="54"/>
      <c r="E475" s="39"/>
    </row>
    <row r="476" spans="1:5">
      <c r="A476" s="40" t="s">
        <v>33</v>
      </c>
      <c r="B476" s="41">
        <v>71973</v>
      </c>
      <c r="C476" s="41">
        <v>74461.83</v>
      </c>
      <c r="D476" s="42">
        <v>19883.36</v>
      </c>
      <c r="E476" s="39">
        <f>C476/B476*100</f>
        <v>103.4580050852403</v>
      </c>
    </row>
    <row r="477" spans="1:5">
      <c r="A477" s="40" t="s">
        <v>47</v>
      </c>
      <c r="B477" s="41">
        <v>8046.8</v>
      </c>
      <c r="C477" s="41">
        <v>273.8</v>
      </c>
      <c r="D477" s="42">
        <v>1333.2</v>
      </c>
      <c r="E477" s="39">
        <f>C477/B477*100</f>
        <v>3.4025948203012377</v>
      </c>
    </row>
    <row r="478" spans="1:5">
      <c r="A478" s="40" t="s">
        <v>44</v>
      </c>
      <c r="B478" s="41">
        <v>0</v>
      </c>
      <c r="C478" s="41">
        <v>-24565.95</v>
      </c>
      <c r="D478" s="42">
        <v>2983.61</v>
      </c>
      <c r="E478" s="39"/>
    </row>
    <row r="479" spans="1:5">
      <c r="A479" s="40" t="s">
        <v>37</v>
      </c>
      <c r="B479" s="41">
        <v>42470.12</v>
      </c>
      <c r="C479" s="41">
        <v>34734.699999999997</v>
      </c>
      <c r="D479" s="42">
        <v>18946.13</v>
      </c>
      <c r="E479" s="39">
        <f>C479/B479*100</f>
        <v>81.786206396402918</v>
      </c>
    </row>
    <row r="480" spans="1:5">
      <c r="A480" s="40" t="s">
        <v>35</v>
      </c>
      <c r="B480" s="41">
        <v>0</v>
      </c>
      <c r="C480" s="41">
        <v>0</v>
      </c>
      <c r="D480" s="42">
        <v>0</v>
      </c>
      <c r="E480" s="39"/>
    </row>
    <row r="481" spans="1:5">
      <c r="A481" s="40" t="s">
        <v>42</v>
      </c>
      <c r="B481" s="41">
        <v>63262.2</v>
      </c>
      <c r="C481" s="41">
        <v>50115.94</v>
      </c>
      <c r="D481" s="42">
        <v>10866.11</v>
      </c>
      <c r="E481" s="39">
        <f>C481/B481*100</f>
        <v>79.219407481877028</v>
      </c>
    </row>
    <row r="482" spans="1:5">
      <c r="A482" s="40" t="s">
        <v>46</v>
      </c>
      <c r="B482" s="41">
        <v>315171.5</v>
      </c>
      <c r="C482" s="41">
        <v>282814.12</v>
      </c>
      <c r="D482" s="42">
        <v>99553.35</v>
      </c>
      <c r="E482" s="39">
        <f>C482/B482*100</f>
        <v>89.733405463374709</v>
      </c>
    </row>
    <row r="483" spans="1:5">
      <c r="A483" s="40" t="s">
        <v>40</v>
      </c>
      <c r="B483" s="41">
        <v>6079.32</v>
      </c>
      <c r="C483" s="41">
        <v>10880.17</v>
      </c>
      <c r="D483" s="42">
        <v>-2014.73</v>
      </c>
      <c r="E483" s="39">
        <f>C483/B483*100</f>
        <v>178.97018087549264</v>
      </c>
    </row>
    <row r="484" spans="1:5">
      <c r="A484" s="40" t="s">
        <v>36</v>
      </c>
      <c r="B484" s="41">
        <v>68631.240000000005</v>
      </c>
      <c r="C484" s="41">
        <v>71435.350000000006</v>
      </c>
      <c r="D484" s="42">
        <v>19005.59</v>
      </c>
      <c r="E484" s="39">
        <f>C484/B484*100</f>
        <v>104.08576327631556</v>
      </c>
    </row>
    <row r="485" spans="1:5">
      <c r="A485" s="40" t="s">
        <v>41</v>
      </c>
      <c r="B485" s="41">
        <v>40982.129999999997</v>
      </c>
      <c r="C485" s="41">
        <v>33473.49</v>
      </c>
      <c r="D485" s="42">
        <v>18252.759999999998</v>
      </c>
      <c r="E485" s="39">
        <f>C485/B485*100</f>
        <v>81.678258304290182</v>
      </c>
    </row>
    <row r="486" spans="1:5">
      <c r="A486" s="40" t="s">
        <v>39</v>
      </c>
      <c r="B486" s="41">
        <v>0</v>
      </c>
      <c r="C486" s="41">
        <v>709.43</v>
      </c>
      <c r="D486" s="42">
        <v>-2015</v>
      </c>
      <c r="E486" s="39"/>
    </row>
    <row r="487" spans="1:5">
      <c r="A487" s="40" t="s">
        <v>43</v>
      </c>
      <c r="B487" s="41">
        <v>13371.68</v>
      </c>
      <c r="C487" s="41">
        <v>10907.53</v>
      </c>
      <c r="D487" s="42">
        <v>5979.11</v>
      </c>
      <c r="E487" s="39">
        <f>C487/B487*100</f>
        <v>81.571874289543274</v>
      </c>
    </row>
    <row r="488" spans="1:5">
      <c r="A488" s="40" t="s">
        <v>38</v>
      </c>
      <c r="B488" s="41">
        <v>2122.9699999999998</v>
      </c>
      <c r="C488" s="41">
        <v>1732.93</v>
      </c>
      <c r="D488" s="42">
        <v>932.13</v>
      </c>
      <c r="E488" s="39">
        <f>C488/B488*100</f>
        <v>81.627625449252704</v>
      </c>
    </row>
    <row r="489" spans="1:5">
      <c r="A489" s="40" t="s">
        <v>34</v>
      </c>
      <c r="B489" s="41">
        <v>0</v>
      </c>
      <c r="C489" s="41">
        <v>25167.15</v>
      </c>
      <c r="D489" s="42">
        <v>382093.64</v>
      </c>
      <c r="E489" s="39"/>
    </row>
    <row r="490" spans="1:5">
      <c r="A490" s="40" t="s">
        <v>32</v>
      </c>
      <c r="B490" s="41">
        <v>57604.14</v>
      </c>
      <c r="C490" s="41">
        <v>59544.82</v>
      </c>
      <c r="D490" s="42">
        <v>15822.77</v>
      </c>
      <c r="E490" s="39">
        <f>C490/B490*100</f>
        <v>103.3689939646699</v>
      </c>
    </row>
    <row r="491" spans="1:5">
      <c r="A491" s="43" t="s">
        <v>45</v>
      </c>
      <c r="B491" s="44">
        <v>689715.1</v>
      </c>
      <c r="C491" s="44">
        <v>631685.31000000006</v>
      </c>
      <c r="D491" s="45">
        <v>591622.03</v>
      </c>
      <c r="E491" s="46">
        <f>C491/B491*100</f>
        <v>91.586411548768481</v>
      </c>
    </row>
    <row r="492" spans="1:5">
      <c r="A492" s="54" t="s">
        <v>128</v>
      </c>
      <c r="B492" s="54"/>
      <c r="C492" s="54"/>
      <c r="D492" s="54"/>
      <c r="E492" s="39"/>
    </row>
    <row r="493" spans="1:5">
      <c r="A493" s="40" t="s">
        <v>37</v>
      </c>
      <c r="B493" s="41">
        <v>57651.86</v>
      </c>
      <c r="C493" s="41">
        <v>59685.21</v>
      </c>
      <c r="D493" s="42">
        <v>7050.89</v>
      </c>
      <c r="E493" s="39">
        <f>C493/B493*100</f>
        <v>103.52694605169721</v>
      </c>
    </row>
    <row r="494" spans="1:5">
      <c r="A494" s="40" t="s">
        <v>34</v>
      </c>
      <c r="B494" s="41">
        <v>0</v>
      </c>
      <c r="C494" s="41">
        <v>966.69</v>
      </c>
      <c r="D494" s="42">
        <v>407.52</v>
      </c>
      <c r="E494" s="39"/>
    </row>
    <row r="495" spans="1:5">
      <c r="A495" s="40" t="s">
        <v>44</v>
      </c>
      <c r="B495" s="41">
        <v>0</v>
      </c>
      <c r="C495" s="41">
        <v>-20302.52</v>
      </c>
      <c r="D495" s="42">
        <v>-2697.5</v>
      </c>
      <c r="E495" s="39"/>
    </row>
    <row r="496" spans="1:5">
      <c r="A496" s="40" t="s">
        <v>42</v>
      </c>
      <c r="B496" s="41">
        <v>69959.039999999994</v>
      </c>
      <c r="C496" s="41">
        <v>71010.42</v>
      </c>
      <c r="D496" s="42">
        <v>7388.93</v>
      </c>
      <c r="E496" s="39">
        <f>C496/B496*100</f>
        <v>101.50285081098885</v>
      </c>
    </row>
    <row r="497" spans="1:5">
      <c r="A497" s="40" t="s">
        <v>40</v>
      </c>
      <c r="B497" s="41">
        <v>0</v>
      </c>
      <c r="C497" s="41">
        <v>0</v>
      </c>
      <c r="D497" s="42">
        <v>-1031.94</v>
      </c>
      <c r="E497" s="39"/>
    </row>
    <row r="498" spans="1:5">
      <c r="A498" s="40" t="s">
        <v>46</v>
      </c>
      <c r="B498" s="41">
        <v>406777.16</v>
      </c>
      <c r="C498" s="41">
        <v>403211.57</v>
      </c>
      <c r="D498" s="42">
        <v>71466.83</v>
      </c>
      <c r="E498" s="39">
        <f>C498/B498*100</f>
        <v>99.123453735701389</v>
      </c>
    </row>
    <row r="499" spans="1:5">
      <c r="A499" s="40" t="s">
        <v>35</v>
      </c>
      <c r="B499" s="41">
        <v>0</v>
      </c>
      <c r="C499" s="41">
        <v>0</v>
      </c>
      <c r="D499" s="42">
        <v>0</v>
      </c>
      <c r="E499" s="39"/>
    </row>
    <row r="500" spans="1:5">
      <c r="A500" s="40" t="s">
        <v>39</v>
      </c>
      <c r="B500" s="41">
        <v>0</v>
      </c>
      <c r="C500" s="41">
        <v>918.22</v>
      </c>
      <c r="D500" s="42">
        <v>-2673.12</v>
      </c>
      <c r="E500" s="39"/>
    </row>
    <row r="501" spans="1:5">
      <c r="A501" s="40" t="s">
        <v>38</v>
      </c>
      <c r="B501" s="41">
        <v>3278.97</v>
      </c>
      <c r="C501" s="41">
        <v>3305.39</v>
      </c>
      <c r="D501" s="42">
        <v>386.88</v>
      </c>
      <c r="E501" s="39">
        <f t="shared" ref="E501:E508" si="16">C501/B501*100</f>
        <v>100.80574082714999</v>
      </c>
    </row>
    <row r="502" spans="1:5">
      <c r="A502" s="40" t="s">
        <v>43</v>
      </c>
      <c r="B502" s="41">
        <v>20642.55</v>
      </c>
      <c r="C502" s="41">
        <v>21522.81</v>
      </c>
      <c r="D502" s="42">
        <v>2454.5500000000002</v>
      </c>
      <c r="E502" s="39">
        <f t="shared" si="16"/>
        <v>104.26429874216123</v>
      </c>
    </row>
    <row r="503" spans="1:5">
      <c r="A503" s="40" t="s">
        <v>32</v>
      </c>
      <c r="B503" s="41">
        <v>61765.91</v>
      </c>
      <c r="C503" s="41">
        <v>70153.56</v>
      </c>
      <c r="D503" s="42">
        <v>6489.48</v>
      </c>
      <c r="E503" s="39">
        <f t="shared" si="16"/>
        <v>113.57974002163975</v>
      </c>
    </row>
    <row r="504" spans="1:5">
      <c r="A504" s="40" t="s">
        <v>41</v>
      </c>
      <c r="B504" s="41">
        <v>55633.78</v>
      </c>
      <c r="C504" s="41">
        <v>57525.11</v>
      </c>
      <c r="D504" s="42">
        <v>6815.89</v>
      </c>
      <c r="E504" s="39">
        <f t="shared" si="16"/>
        <v>103.3996072170541</v>
      </c>
    </row>
    <row r="505" spans="1:5">
      <c r="A505" s="40" t="s">
        <v>47</v>
      </c>
      <c r="B505" s="41">
        <v>7326.6</v>
      </c>
      <c r="C505" s="41">
        <v>846</v>
      </c>
      <c r="D505" s="42">
        <v>1493</v>
      </c>
      <c r="E505" s="39">
        <f t="shared" si="16"/>
        <v>11.546965850462696</v>
      </c>
    </row>
    <row r="506" spans="1:5">
      <c r="A506" s="40" t="s">
        <v>33</v>
      </c>
      <c r="B506" s="41">
        <v>77173.210000000006</v>
      </c>
      <c r="C506" s="41">
        <v>87692.02</v>
      </c>
      <c r="D506" s="42">
        <v>8211.2199999999993</v>
      </c>
      <c r="E506" s="39">
        <f t="shared" si="16"/>
        <v>113.63013149252181</v>
      </c>
    </row>
    <row r="507" spans="1:5">
      <c r="A507" s="40" t="s">
        <v>36</v>
      </c>
      <c r="B507" s="41">
        <v>73589.7</v>
      </c>
      <c r="C507" s="41">
        <v>84048.77</v>
      </c>
      <c r="D507" s="42">
        <v>7805.39</v>
      </c>
      <c r="E507" s="39">
        <f t="shared" si="16"/>
        <v>114.21268193782555</v>
      </c>
    </row>
    <row r="508" spans="1:5">
      <c r="A508" s="43" t="s">
        <v>45</v>
      </c>
      <c r="B508" s="44">
        <v>833798.78</v>
      </c>
      <c r="C508" s="44">
        <v>840583.25</v>
      </c>
      <c r="D508" s="45">
        <v>113568.02</v>
      </c>
      <c r="E508" s="46">
        <f t="shared" si="16"/>
        <v>100.8136819293499</v>
      </c>
    </row>
    <row r="509" spans="1:5">
      <c r="A509" s="54" t="s">
        <v>129</v>
      </c>
      <c r="B509" s="54"/>
      <c r="C509" s="54"/>
      <c r="D509" s="54"/>
      <c r="E509" s="39"/>
    </row>
    <row r="510" spans="1:5">
      <c r="A510" s="40" t="s">
        <v>38</v>
      </c>
      <c r="B510" s="41">
        <v>3472.22</v>
      </c>
      <c r="C510" s="41">
        <v>3055.78</v>
      </c>
      <c r="D510" s="42">
        <v>1160.9100000000001</v>
      </c>
      <c r="E510" s="39">
        <f t="shared" ref="E510:E517" si="17">C510/B510*100</f>
        <v>88.006520324173025</v>
      </c>
    </row>
    <row r="511" spans="1:5">
      <c r="A511" s="40" t="s">
        <v>37</v>
      </c>
      <c r="B511" s="41">
        <v>67150.37</v>
      </c>
      <c r="C511" s="41">
        <v>59885.07</v>
      </c>
      <c r="D511" s="42">
        <v>23115.16</v>
      </c>
      <c r="E511" s="39">
        <f t="shared" si="17"/>
        <v>89.180551052808795</v>
      </c>
    </row>
    <row r="512" spans="1:5">
      <c r="A512" s="40" t="s">
        <v>46</v>
      </c>
      <c r="B512" s="41">
        <v>353539.49</v>
      </c>
      <c r="C512" s="41">
        <v>324072.12</v>
      </c>
      <c r="D512" s="42">
        <v>98933.98</v>
      </c>
      <c r="E512" s="39">
        <f t="shared" si="17"/>
        <v>91.66504143568234</v>
      </c>
    </row>
    <row r="513" spans="1:5">
      <c r="A513" s="40" t="s">
        <v>33</v>
      </c>
      <c r="B513" s="41">
        <v>75395.16</v>
      </c>
      <c r="C513" s="41">
        <v>76497.64</v>
      </c>
      <c r="D513" s="42">
        <v>18245.55</v>
      </c>
      <c r="E513" s="39">
        <f t="shared" si="17"/>
        <v>101.46226893079077</v>
      </c>
    </row>
    <row r="514" spans="1:5">
      <c r="A514" s="40" t="s">
        <v>47</v>
      </c>
      <c r="B514" s="41">
        <v>7018.2</v>
      </c>
      <c r="C514" s="41">
        <v>389.2</v>
      </c>
      <c r="D514" s="42">
        <v>1233.8</v>
      </c>
      <c r="E514" s="39">
        <f t="shared" si="17"/>
        <v>5.5455814881308596</v>
      </c>
    </row>
    <row r="515" spans="1:5">
      <c r="A515" s="40" t="s">
        <v>43</v>
      </c>
      <c r="B515" s="41">
        <v>21856.57</v>
      </c>
      <c r="C515" s="41">
        <v>19480.79</v>
      </c>
      <c r="D515" s="42">
        <v>7413.28</v>
      </c>
      <c r="E515" s="39">
        <f t="shared" si="17"/>
        <v>89.130133410686128</v>
      </c>
    </row>
    <row r="516" spans="1:5">
      <c r="A516" s="40" t="s">
        <v>42</v>
      </c>
      <c r="B516" s="41">
        <v>53096.76</v>
      </c>
      <c r="C516" s="41">
        <v>51613.94</v>
      </c>
      <c r="D516" s="42">
        <v>10201.799999999999</v>
      </c>
      <c r="E516" s="39">
        <f t="shared" si="17"/>
        <v>97.207324891386975</v>
      </c>
    </row>
    <row r="517" spans="1:5">
      <c r="A517" s="40" t="s">
        <v>41</v>
      </c>
      <c r="B517" s="41">
        <v>64776.76</v>
      </c>
      <c r="C517" s="41">
        <v>57680.82</v>
      </c>
      <c r="D517" s="42">
        <v>22286.36</v>
      </c>
      <c r="E517" s="39">
        <f t="shared" si="17"/>
        <v>89.045546581829655</v>
      </c>
    </row>
    <row r="518" spans="1:5">
      <c r="A518" s="40" t="s">
        <v>39</v>
      </c>
      <c r="B518" s="41">
        <v>0</v>
      </c>
      <c r="C518" s="41">
        <v>672.73</v>
      </c>
      <c r="D518" s="42">
        <v>-2233.89</v>
      </c>
      <c r="E518" s="39"/>
    </row>
    <row r="519" spans="1:5">
      <c r="A519" s="40" t="s">
        <v>32</v>
      </c>
      <c r="B519" s="41">
        <v>60342.54</v>
      </c>
      <c r="C519" s="41">
        <v>61147.839999999997</v>
      </c>
      <c r="D519" s="42">
        <v>14561.72</v>
      </c>
      <c r="E519" s="39">
        <f>C519/B519*100</f>
        <v>101.33454773365523</v>
      </c>
    </row>
    <row r="520" spans="1:5">
      <c r="A520" s="40" t="s">
        <v>35</v>
      </c>
      <c r="B520" s="41">
        <v>0</v>
      </c>
      <c r="C520" s="41">
        <v>0</v>
      </c>
      <c r="D520" s="42">
        <v>0</v>
      </c>
      <c r="E520" s="39"/>
    </row>
    <row r="521" spans="1:5">
      <c r="A521" s="40" t="s">
        <v>34</v>
      </c>
      <c r="B521" s="41">
        <v>0</v>
      </c>
      <c r="C521" s="41">
        <v>12635.15</v>
      </c>
      <c r="D521" s="42">
        <v>47694.57</v>
      </c>
      <c r="E521" s="39"/>
    </row>
    <row r="522" spans="1:5">
      <c r="A522" s="40" t="s">
        <v>44</v>
      </c>
      <c r="B522" s="41">
        <v>0</v>
      </c>
      <c r="C522" s="41">
        <v>-15449.58</v>
      </c>
      <c r="D522" s="42">
        <v>874.65</v>
      </c>
      <c r="E522" s="39"/>
    </row>
    <row r="523" spans="1:5">
      <c r="A523" s="40" t="s">
        <v>40</v>
      </c>
      <c r="B523" s="41">
        <v>19541.52</v>
      </c>
      <c r="C523" s="41">
        <v>16923.12</v>
      </c>
      <c r="D523" s="42">
        <v>7293.5</v>
      </c>
      <c r="E523" s="39">
        <f>C523/B523*100</f>
        <v>86.600837601169204</v>
      </c>
    </row>
    <row r="524" spans="1:5">
      <c r="A524" s="40" t="s">
        <v>36</v>
      </c>
      <c r="B524" s="41">
        <v>71894.22</v>
      </c>
      <c r="C524" s="41">
        <v>73520.11</v>
      </c>
      <c r="D524" s="42">
        <v>17458.41</v>
      </c>
      <c r="E524" s="39">
        <f>C524/B524*100</f>
        <v>102.26150308049799</v>
      </c>
    </row>
    <row r="525" spans="1:5">
      <c r="A525" s="43" t="s">
        <v>45</v>
      </c>
      <c r="B525" s="44">
        <v>798083.81</v>
      </c>
      <c r="C525" s="44">
        <v>742124.73</v>
      </c>
      <c r="D525" s="45">
        <v>268239.8</v>
      </c>
      <c r="E525" s="46">
        <f>C525/B525*100</f>
        <v>92.988320361993047</v>
      </c>
    </row>
    <row r="526" spans="1:5">
      <c r="A526" s="54" t="s">
        <v>130</v>
      </c>
      <c r="B526" s="54"/>
      <c r="C526" s="54"/>
      <c r="D526" s="54"/>
      <c r="E526" s="39"/>
    </row>
    <row r="527" spans="1:5">
      <c r="A527" s="40" t="s">
        <v>37</v>
      </c>
      <c r="B527" s="41">
        <v>0</v>
      </c>
      <c r="C527" s="41">
        <v>32.01</v>
      </c>
      <c r="D527" s="42">
        <v>-0.06</v>
      </c>
      <c r="E527" s="39"/>
    </row>
    <row r="528" spans="1:5">
      <c r="A528" s="40" t="s">
        <v>48</v>
      </c>
      <c r="B528" s="41">
        <v>0</v>
      </c>
      <c r="C528" s="41">
        <v>93.66</v>
      </c>
      <c r="D528" s="42">
        <v>-0.06</v>
      </c>
      <c r="E528" s="39"/>
    </row>
    <row r="529" spans="1:5">
      <c r="A529" s="40" t="s">
        <v>43</v>
      </c>
      <c r="B529" s="41">
        <v>0</v>
      </c>
      <c r="C529" s="41">
        <v>78.22</v>
      </c>
      <c r="D529" s="42">
        <v>-0.06</v>
      </c>
      <c r="E529" s="39"/>
    </row>
    <row r="530" spans="1:5">
      <c r="A530" s="40" t="s">
        <v>35</v>
      </c>
      <c r="B530" s="41">
        <v>0</v>
      </c>
      <c r="C530" s="41">
        <v>1061.3599999999999</v>
      </c>
      <c r="D530" s="42">
        <v>-0.06</v>
      </c>
      <c r="E530" s="39"/>
    </row>
    <row r="531" spans="1:5">
      <c r="A531" s="40" t="s">
        <v>36</v>
      </c>
      <c r="B531" s="41">
        <v>0</v>
      </c>
      <c r="C531" s="41">
        <v>7.0000000000000007E-2</v>
      </c>
      <c r="D531" s="42">
        <v>-1300.4000000000001</v>
      </c>
      <c r="E531" s="39"/>
    </row>
    <row r="532" spans="1:5">
      <c r="A532" s="40" t="s">
        <v>38</v>
      </c>
      <c r="B532" s="41">
        <v>0</v>
      </c>
      <c r="C532" s="41">
        <v>10.81</v>
      </c>
      <c r="D532" s="42">
        <v>-7.0000000000000007E-2</v>
      </c>
      <c r="E532" s="39"/>
    </row>
    <row r="533" spans="1:5">
      <c r="A533" s="40" t="s">
        <v>49</v>
      </c>
      <c r="B533" s="41">
        <v>0</v>
      </c>
      <c r="C533" s="41">
        <v>20.41</v>
      </c>
      <c r="D533" s="42">
        <v>-7.0000000000000007E-2</v>
      </c>
      <c r="E533" s="39"/>
    </row>
    <row r="534" spans="1:5">
      <c r="A534" s="40" t="s">
        <v>44</v>
      </c>
      <c r="B534" s="41">
        <v>0</v>
      </c>
      <c r="C534" s="41">
        <v>347.5</v>
      </c>
      <c r="D534" s="42">
        <v>0</v>
      </c>
      <c r="E534" s="39"/>
    </row>
    <row r="535" spans="1:5">
      <c r="A535" s="53" t="s">
        <v>96</v>
      </c>
      <c r="B535" s="53"/>
      <c r="C535" s="53"/>
      <c r="D535" s="53"/>
      <c r="E535" s="39"/>
    </row>
    <row r="536" spans="1:5">
      <c r="A536" s="36" t="s">
        <v>28</v>
      </c>
      <c r="B536" s="36" t="s">
        <v>29</v>
      </c>
      <c r="C536" s="36" t="s">
        <v>30</v>
      </c>
      <c r="D536" s="37" t="s">
        <v>31</v>
      </c>
      <c r="E536" s="39"/>
    </row>
    <row r="537" spans="1:5">
      <c r="A537" s="40" t="s">
        <v>34</v>
      </c>
      <c r="B537" s="41">
        <v>0</v>
      </c>
      <c r="C537" s="41">
        <v>44504.65</v>
      </c>
      <c r="D537" s="42">
        <v>-7.0000000000000007E-2</v>
      </c>
      <c r="E537" s="39"/>
    </row>
    <row r="538" spans="1:5">
      <c r="A538" s="43" t="s">
        <v>45</v>
      </c>
      <c r="B538" s="44">
        <v>0</v>
      </c>
      <c r="C538" s="44">
        <v>46148.69</v>
      </c>
      <c r="D538" s="45">
        <v>-1300.8499999999999</v>
      </c>
      <c r="E538" s="46"/>
    </row>
    <row r="539" spans="1:5">
      <c r="A539" s="54" t="s">
        <v>131</v>
      </c>
      <c r="B539" s="54"/>
      <c r="C539" s="54"/>
      <c r="D539" s="54"/>
      <c r="E539" s="39"/>
    </row>
    <row r="540" spans="1:5">
      <c r="A540" s="40" t="s">
        <v>43</v>
      </c>
      <c r="B540" s="41">
        <v>6076.89</v>
      </c>
      <c r="C540" s="41">
        <v>6337.18</v>
      </c>
      <c r="D540" s="42">
        <v>274.95999999999998</v>
      </c>
      <c r="E540" s="39">
        <f>C540/B540*100</f>
        <v>104.28327647859351</v>
      </c>
    </row>
    <row r="541" spans="1:5">
      <c r="A541" s="40" t="s">
        <v>34</v>
      </c>
      <c r="B541" s="41">
        <v>0</v>
      </c>
      <c r="C541" s="41">
        <v>-2701.14</v>
      </c>
      <c r="D541" s="42">
        <v>0</v>
      </c>
      <c r="E541" s="39"/>
    </row>
    <row r="542" spans="1:5">
      <c r="A542" s="40" t="s">
        <v>32</v>
      </c>
      <c r="B542" s="41">
        <v>33418.800000000003</v>
      </c>
      <c r="C542" s="41">
        <v>38262.71</v>
      </c>
      <c r="D542" s="42">
        <v>3810.55</v>
      </c>
      <c r="E542" s="39">
        <f>C542/B542*100</f>
        <v>114.49456593294791</v>
      </c>
    </row>
    <row r="543" spans="1:5">
      <c r="A543" s="40" t="s">
        <v>36</v>
      </c>
      <c r="B543" s="41">
        <v>39816.300000000003</v>
      </c>
      <c r="C543" s="41">
        <v>47151.53</v>
      </c>
      <c r="D543" s="42">
        <v>4603.16</v>
      </c>
      <c r="E543" s="39">
        <f>C543/B543*100</f>
        <v>118.42268116324217</v>
      </c>
    </row>
    <row r="544" spans="1:5">
      <c r="A544" s="40" t="s">
        <v>39</v>
      </c>
      <c r="B544" s="41">
        <v>0</v>
      </c>
      <c r="C544" s="41">
        <v>595.47</v>
      </c>
      <c r="D544" s="42">
        <v>-1236.1199999999999</v>
      </c>
      <c r="E544" s="39"/>
    </row>
    <row r="545" spans="1:5">
      <c r="A545" s="40" t="s">
        <v>38</v>
      </c>
      <c r="B545" s="41">
        <v>966.41</v>
      </c>
      <c r="C545" s="41">
        <v>1009.77</v>
      </c>
      <c r="D545" s="42">
        <v>28.18</v>
      </c>
      <c r="E545" s="39">
        <f>C545/B545*100</f>
        <v>104.48670853985369</v>
      </c>
    </row>
    <row r="546" spans="1:5">
      <c r="A546" s="40" t="s">
        <v>35</v>
      </c>
      <c r="B546" s="41">
        <v>220582.62</v>
      </c>
      <c r="C546" s="41">
        <v>212483.49</v>
      </c>
      <c r="D546" s="42">
        <v>27238.91</v>
      </c>
      <c r="E546" s="39">
        <f>C546/B546*100</f>
        <v>96.328300933228547</v>
      </c>
    </row>
    <row r="547" spans="1:5">
      <c r="A547" s="40" t="s">
        <v>37</v>
      </c>
      <c r="B547" s="41">
        <v>10560.65</v>
      </c>
      <c r="C547" s="41">
        <v>11293.69</v>
      </c>
      <c r="D547" s="42">
        <v>195.88</v>
      </c>
      <c r="E547" s="39">
        <f>C547/B547*100</f>
        <v>106.94123941234679</v>
      </c>
    </row>
    <row r="548" spans="1:5">
      <c r="A548" s="40" t="s">
        <v>41</v>
      </c>
      <c r="B548" s="41">
        <v>10188.709999999999</v>
      </c>
      <c r="C548" s="41">
        <v>10886.8</v>
      </c>
      <c r="D548" s="42">
        <v>191.61</v>
      </c>
      <c r="E548" s="39">
        <f>C548/B548*100</f>
        <v>106.85160339238236</v>
      </c>
    </row>
    <row r="549" spans="1:5">
      <c r="A549" s="40" t="s">
        <v>44</v>
      </c>
      <c r="B549" s="41">
        <v>0</v>
      </c>
      <c r="C549" s="41">
        <v>-17692.21</v>
      </c>
      <c r="D549" s="42">
        <v>0</v>
      </c>
      <c r="E549" s="39"/>
    </row>
    <row r="550" spans="1:5">
      <c r="A550" s="40" t="s">
        <v>42</v>
      </c>
      <c r="B550" s="41">
        <v>34172.76</v>
      </c>
      <c r="C550" s="41">
        <v>32809.69</v>
      </c>
      <c r="D550" s="42">
        <v>4387.58</v>
      </c>
      <c r="E550" s="39">
        <f>C550/B550*100</f>
        <v>96.011238190886544</v>
      </c>
    </row>
    <row r="551" spans="1:5">
      <c r="A551" s="40" t="s">
        <v>33</v>
      </c>
      <c r="B551" s="41">
        <v>41755.379999999997</v>
      </c>
      <c r="C551" s="41">
        <v>47864.480000000003</v>
      </c>
      <c r="D551" s="42">
        <v>4774.87</v>
      </c>
      <c r="E551" s="39">
        <f>C551/B551*100</f>
        <v>114.63068950635824</v>
      </c>
    </row>
    <row r="552" spans="1:5">
      <c r="A552" s="40" t="s">
        <v>40</v>
      </c>
      <c r="B552" s="41">
        <v>6055.68</v>
      </c>
      <c r="C552" s="41">
        <v>6025.28</v>
      </c>
      <c r="D552" s="42">
        <v>504.64</v>
      </c>
      <c r="E552" s="39">
        <f>C552/B552*100</f>
        <v>99.497991967871485</v>
      </c>
    </row>
    <row r="553" spans="1:5">
      <c r="A553" s="43" t="s">
        <v>45</v>
      </c>
      <c r="B553" s="44">
        <v>403594.2</v>
      </c>
      <c r="C553" s="44">
        <v>394326.74</v>
      </c>
      <c r="D553" s="45">
        <v>44774.22</v>
      </c>
      <c r="E553" s="46">
        <f>C553/B553*100</f>
        <v>97.703767794482673</v>
      </c>
    </row>
    <row r="554" spans="1:5">
      <c r="A554" s="54" t="s">
        <v>132</v>
      </c>
      <c r="B554" s="54"/>
      <c r="C554" s="54"/>
      <c r="D554" s="54"/>
      <c r="E554" s="39"/>
    </row>
    <row r="555" spans="1:5">
      <c r="A555" s="40" t="s">
        <v>37</v>
      </c>
      <c r="B555" s="41">
        <v>53029.86</v>
      </c>
      <c r="C555" s="41">
        <v>45903.6</v>
      </c>
      <c r="D555" s="42">
        <v>18080.650000000001</v>
      </c>
      <c r="E555" s="39">
        <f>C555/B555*100</f>
        <v>86.561797447702105</v>
      </c>
    </row>
    <row r="556" spans="1:5">
      <c r="A556" s="40" t="s">
        <v>44</v>
      </c>
      <c r="B556" s="41">
        <v>0</v>
      </c>
      <c r="C556" s="41">
        <v>-21126.68</v>
      </c>
      <c r="D556" s="42">
        <v>4155.51</v>
      </c>
      <c r="E556" s="39"/>
    </row>
    <row r="557" spans="1:5">
      <c r="A557" s="40" t="s">
        <v>133</v>
      </c>
      <c r="B557" s="41">
        <v>128.91</v>
      </c>
      <c r="C557" s="41">
        <v>77.239999999999995</v>
      </c>
      <c r="D557" s="42">
        <v>51.67</v>
      </c>
      <c r="E557" s="39">
        <f>C557/B557*100</f>
        <v>59.917772089054381</v>
      </c>
    </row>
    <row r="558" spans="1:5">
      <c r="A558" s="40" t="s">
        <v>47</v>
      </c>
      <c r="B558" s="41">
        <v>16948.8</v>
      </c>
      <c r="C558" s="41">
        <v>717.37</v>
      </c>
      <c r="D558" s="42">
        <v>2440.4</v>
      </c>
      <c r="E558" s="39">
        <f>C558/B558*100</f>
        <v>4.2325710374775793</v>
      </c>
    </row>
    <row r="559" spans="1:5">
      <c r="A559" s="40" t="s">
        <v>41</v>
      </c>
      <c r="B559" s="41">
        <v>84794.81</v>
      </c>
      <c r="C559" s="41">
        <v>72824.63</v>
      </c>
      <c r="D559" s="42">
        <v>30476.7</v>
      </c>
      <c r="E559" s="39">
        <f>C559/B559*100</f>
        <v>85.883357719652892</v>
      </c>
    </row>
    <row r="560" spans="1:5">
      <c r="A560" s="40" t="s">
        <v>36</v>
      </c>
      <c r="B560" s="41">
        <v>129790.62</v>
      </c>
      <c r="C560" s="41">
        <v>123872.27</v>
      </c>
      <c r="D560" s="42">
        <v>33483.599999999999</v>
      </c>
      <c r="E560" s="39">
        <f>C560/B560*100</f>
        <v>95.440078797681991</v>
      </c>
    </row>
    <row r="561" spans="1:5">
      <c r="A561" s="40" t="s">
        <v>39</v>
      </c>
      <c r="B561" s="41">
        <v>0</v>
      </c>
      <c r="C561" s="41">
        <v>1210.43</v>
      </c>
      <c r="D561" s="42">
        <v>-4068.24</v>
      </c>
      <c r="E561" s="39"/>
    </row>
    <row r="562" spans="1:5">
      <c r="A562" s="40" t="s">
        <v>43</v>
      </c>
      <c r="B562" s="41">
        <v>44297.120000000003</v>
      </c>
      <c r="C562" s="41">
        <v>41117.18</v>
      </c>
      <c r="D562" s="42">
        <v>10825.27</v>
      </c>
      <c r="E562" s="39">
        <f>C562/B562*100</f>
        <v>92.821339175097606</v>
      </c>
    </row>
    <row r="563" spans="1:5">
      <c r="A563" s="40" t="s">
        <v>34</v>
      </c>
      <c r="B563" s="41">
        <v>0</v>
      </c>
      <c r="C563" s="41">
        <v>12340.79</v>
      </c>
      <c r="D563" s="42">
        <v>632836.54</v>
      </c>
      <c r="E563" s="39"/>
    </row>
    <row r="564" spans="1:5">
      <c r="A564" s="40" t="s">
        <v>52</v>
      </c>
      <c r="B564" s="41">
        <v>-3112.52</v>
      </c>
      <c r="C564" s="41">
        <v>-2582.8000000000002</v>
      </c>
      <c r="D564" s="42">
        <v>-529.72</v>
      </c>
      <c r="E564" s="39">
        <f t="shared" ref="E564:E574" si="18">C564/B564*100</f>
        <v>82.980992893218371</v>
      </c>
    </row>
    <row r="565" spans="1:5">
      <c r="A565" s="40" t="s">
        <v>51</v>
      </c>
      <c r="B565" s="41">
        <v>197396.64</v>
      </c>
      <c r="C565" s="41">
        <v>165453.54</v>
      </c>
      <c r="D565" s="42">
        <v>72762.69</v>
      </c>
      <c r="E565" s="39">
        <f t="shared" si="18"/>
        <v>83.817809664845356</v>
      </c>
    </row>
    <row r="566" spans="1:5">
      <c r="A566" s="40" t="s">
        <v>42</v>
      </c>
      <c r="B566" s="41">
        <v>97299.24</v>
      </c>
      <c r="C566" s="41">
        <v>92151.34</v>
      </c>
      <c r="D566" s="42">
        <v>15559.79</v>
      </c>
      <c r="E566" s="39">
        <f t="shared" si="18"/>
        <v>94.709208417249698</v>
      </c>
    </row>
    <row r="567" spans="1:5">
      <c r="A567" s="40" t="s">
        <v>53</v>
      </c>
      <c r="B567" s="41">
        <v>714.65</v>
      </c>
      <c r="C567" s="41">
        <v>1180.79</v>
      </c>
      <c r="D567" s="42">
        <v>-466.14</v>
      </c>
      <c r="E567" s="39">
        <f t="shared" si="18"/>
        <v>165.22633456936961</v>
      </c>
    </row>
    <row r="568" spans="1:5">
      <c r="A568" s="40" t="s">
        <v>33</v>
      </c>
      <c r="B568" s="41">
        <v>136109.70000000001</v>
      </c>
      <c r="C568" s="41">
        <v>129557.18</v>
      </c>
      <c r="D568" s="42">
        <v>35039.86</v>
      </c>
      <c r="E568" s="39">
        <f t="shared" si="18"/>
        <v>95.185853763545126</v>
      </c>
    </row>
    <row r="569" spans="1:5">
      <c r="A569" s="40" t="s">
        <v>38</v>
      </c>
      <c r="B569" s="41">
        <v>7031.84</v>
      </c>
      <c r="C569" s="41">
        <v>6567.7</v>
      </c>
      <c r="D569" s="42">
        <v>1691.52</v>
      </c>
      <c r="E569" s="39">
        <f t="shared" si="18"/>
        <v>93.399451637124841</v>
      </c>
    </row>
    <row r="570" spans="1:5">
      <c r="A570" s="40" t="s">
        <v>35</v>
      </c>
      <c r="B570" s="41">
        <v>719037.36</v>
      </c>
      <c r="C570" s="41">
        <v>639527.13</v>
      </c>
      <c r="D570" s="42">
        <v>189838.69</v>
      </c>
      <c r="E570" s="39">
        <f t="shared" si="18"/>
        <v>88.942128125303526</v>
      </c>
    </row>
    <row r="571" spans="1:5">
      <c r="A571" s="40" t="s">
        <v>50</v>
      </c>
      <c r="B571" s="41">
        <v>34827.300000000003</v>
      </c>
      <c r="C571" s="41">
        <v>28781.72</v>
      </c>
      <c r="D571" s="42">
        <v>14529.59</v>
      </c>
      <c r="E571" s="39">
        <f t="shared" si="18"/>
        <v>82.64126130937511</v>
      </c>
    </row>
    <row r="572" spans="1:5">
      <c r="A572" s="40" t="s">
        <v>40</v>
      </c>
      <c r="B572" s="41">
        <v>33834.120000000003</v>
      </c>
      <c r="C572" s="41">
        <v>25669.95</v>
      </c>
      <c r="D572" s="42">
        <v>17970.650000000001</v>
      </c>
      <c r="E572" s="39">
        <f t="shared" si="18"/>
        <v>75.870009327861936</v>
      </c>
    </row>
    <row r="573" spans="1:5">
      <c r="A573" s="40" t="s">
        <v>32</v>
      </c>
      <c r="B573" s="41">
        <v>108936.12</v>
      </c>
      <c r="C573" s="41">
        <v>103613.13</v>
      </c>
      <c r="D573" s="42">
        <v>27965.48</v>
      </c>
      <c r="E573" s="39">
        <f t="shared" si="18"/>
        <v>95.113659271139824</v>
      </c>
    </row>
    <row r="574" spans="1:5">
      <c r="A574" s="43" t="s">
        <v>45</v>
      </c>
      <c r="B574" s="44">
        <v>1661064.57</v>
      </c>
      <c r="C574" s="44">
        <v>1466856.51</v>
      </c>
      <c r="D574" s="45">
        <v>1102644.51</v>
      </c>
      <c r="E574" s="46">
        <f t="shared" si="18"/>
        <v>88.30821730187165</v>
      </c>
    </row>
    <row r="575" spans="1:5">
      <c r="A575" s="54" t="s">
        <v>134</v>
      </c>
      <c r="B575" s="54"/>
      <c r="C575" s="54"/>
      <c r="D575" s="54"/>
      <c r="E575" s="39"/>
    </row>
    <row r="576" spans="1:5">
      <c r="A576" s="40" t="s">
        <v>42</v>
      </c>
      <c r="B576" s="41">
        <v>115237.2</v>
      </c>
      <c r="C576" s="41">
        <v>107653.73</v>
      </c>
      <c r="D576" s="42">
        <v>25106.240000000002</v>
      </c>
      <c r="E576" s="39">
        <f t="shared" ref="E576:E588" si="19">C576/B576*100</f>
        <v>93.41925176939391</v>
      </c>
    </row>
    <row r="577" spans="1:5">
      <c r="A577" s="40" t="s">
        <v>36</v>
      </c>
      <c r="B577" s="41">
        <v>130174.8</v>
      </c>
      <c r="C577" s="41">
        <v>134208.82999999999</v>
      </c>
      <c r="D577" s="42">
        <v>27505.84</v>
      </c>
      <c r="E577" s="39">
        <f t="shared" si="19"/>
        <v>103.09893312684176</v>
      </c>
    </row>
    <row r="578" spans="1:5">
      <c r="A578" s="40" t="s">
        <v>135</v>
      </c>
      <c r="B578" s="41">
        <v>43510.22</v>
      </c>
      <c r="C578" s="41">
        <v>38006.83</v>
      </c>
      <c r="D578" s="42">
        <v>7473.61</v>
      </c>
      <c r="E578" s="39">
        <f t="shared" si="19"/>
        <v>87.351500406111484</v>
      </c>
    </row>
    <row r="579" spans="1:5">
      <c r="A579" s="40" t="s">
        <v>43</v>
      </c>
      <c r="B579" s="41">
        <v>31028.63</v>
      </c>
      <c r="C579" s="41">
        <v>30910.25</v>
      </c>
      <c r="D579" s="42">
        <v>3454.03</v>
      </c>
      <c r="E579" s="39">
        <f t="shared" si="19"/>
        <v>99.618481383161296</v>
      </c>
    </row>
    <row r="580" spans="1:5">
      <c r="A580" s="40" t="s">
        <v>52</v>
      </c>
      <c r="B580" s="41">
        <v>865.78</v>
      </c>
      <c r="C580" s="41">
        <v>1133.52</v>
      </c>
      <c r="D580" s="42">
        <v>-173.75</v>
      </c>
      <c r="E580" s="39">
        <f t="shared" si="19"/>
        <v>130.92471528563837</v>
      </c>
    </row>
    <row r="581" spans="1:5">
      <c r="A581" s="40" t="s">
        <v>32</v>
      </c>
      <c r="B581" s="41">
        <v>109258.43</v>
      </c>
      <c r="C581" s="41">
        <v>112151.39</v>
      </c>
      <c r="D581" s="42">
        <v>23015.58</v>
      </c>
      <c r="E581" s="39">
        <f t="shared" si="19"/>
        <v>102.64781399476452</v>
      </c>
    </row>
    <row r="582" spans="1:5">
      <c r="A582" s="40" t="s">
        <v>33</v>
      </c>
      <c r="B582" s="41">
        <v>136513.51</v>
      </c>
      <c r="C582" s="41">
        <v>140314.87</v>
      </c>
      <c r="D582" s="42">
        <v>28811.65</v>
      </c>
      <c r="E582" s="39">
        <f t="shared" si="19"/>
        <v>102.78460351653106</v>
      </c>
    </row>
    <row r="583" spans="1:5">
      <c r="A583" s="40" t="s">
        <v>53</v>
      </c>
      <c r="B583" s="41">
        <v>13565.69</v>
      </c>
      <c r="C583" s="41">
        <v>-848.24</v>
      </c>
      <c r="D583" s="42">
        <v>754.72</v>
      </c>
      <c r="E583" s="39">
        <f t="shared" si="19"/>
        <v>-6.2528334349376991</v>
      </c>
    </row>
    <row r="584" spans="1:5">
      <c r="A584" s="40" t="s">
        <v>47</v>
      </c>
      <c r="B584" s="41">
        <v>14740.2</v>
      </c>
      <c r="C584" s="41">
        <v>420.6</v>
      </c>
      <c r="D584" s="42">
        <v>2641</v>
      </c>
      <c r="E584" s="39">
        <f t="shared" si="19"/>
        <v>2.8534212561566328</v>
      </c>
    </row>
    <row r="585" spans="1:5">
      <c r="A585" s="40" t="s">
        <v>50</v>
      </c>
      <c r="B585" s="41">
        <v>19716.27</v>
      </c>
      <c r="C585" s="41">
        <v>20119.169999999998</v>
      </c>
      <c r="D585" s="42">
        <v>2387.42</v>
      </c>
      <c r="E585" s="39">
        <f t="shared" si="19"/>
        <v>102.043489970466</v>
      </c>
    </row>
    <row r="586" spans="1:5">
      <c r="A586" s="40" t="s">
        <v>40</v>
      </c>
      <c r="B586" s="41">
        <v>16284.6</v>
      </c>
      <c r="C586" s="41">
        <v>15844.15</v>
      </c>
      <c r="D586" s="42">
        <v>1791.6</v>
      </c>
      <c r="E586" s="39">
        <f t="shared" si="19"/>
        <v>97.295297397541233</v>
      </c>
    </row>
    <row r="587" spans="1:5">
      <c r="A587" s="40" t="s">
        <v>38</v>
      </c>
      <c r="B587" s="41">
        <v>4927.32</v>
      </c>
      <c r="C587" s="41">
        <v>4919.3900000000003</v>
      </c>
      <c r="D587" s="42">
        <v>543.03</v>
      </c>
      <c r="E587" s="39">
        <f t="shared" si="19"/>
        <v>99.839060584658611</v>
      </c>
    </row>
    <row r="588" spans="1:5">
      <c r="A588" s="40" t="s">
        <v>35</v>
      </c>
      <c r="B588" s="41">
        <v>721167.24</v>
      </c>
      <c r="C588" s="41">
        <v>676402.42</v>
      </c>
      <c r="D588" s="42">
        <v>149667.6</v>
      </c>
      <c r="E588" s="39">
        <f t="shared" si="19"/>
        <v>93.792726913108254</v>
      </c>
    </row>
    <row r="589" spans="1:5">
      <c r="A589" s="40" t="s">
        <v>39</v>
      </c>
      <c r="B589" s="41">
        <v>0</v>
      </c>
      <c r="C589" s="41">
        <v>1301.4000000000001</v>
      </c>
      <c r="D589" s="42">
        <v>-4105.59</v>
      </c>
      <c r="E589" s="39"/>
    </row>
    <row r="590" spans="1:5">
      <c r="A590" s="40" t="s">
        <v>41</v>
      </c>
      <c r="B590" s="41">
        <v>58891.76</v>
      </c>
      <c r="C590" s="41">
        <v>61577.42</v>
      </c>
      <c r="D590" s="42">
        <v>5913.74</v>
      </c>
      <c r="E590" s="39">
        <f>C590/B590*100</f>
        <v>104.56033237926663</v>
      </c>
    </row>
    <row r="591" spans="1:5">
      <c r="A591" s="40" t="s">
        <v>37</v>
      </c>
      <c r="B591" s="41">
        <v>41318.1</v>
      </c>
      <c r="C591" s="41">
        <v>42591.54</v>
      </c>
      <c r="D591" s="42">
        <v>4222.32</v>
      </c>
      <c r="E591" s="39">
        <f>C591/B591*100</f>
        <v>103.08203910634808</v>
      </c>
    </row>
    <row r="592" spans="1:5">
      <c r="A592" s="40" t="s">
        <v>44</v>
      </c>
      <c r="B592" s="41">
        <v>0</v>
      </c>
      <c r="C592" s="41">
        <v>-35338.78</v>
      </c>
      <c r="D592" s="42">
        <v>2225.7800000000002</v>
      </c>
      <c r="E592" s="39"/>
    </row>
    <row r="593" spans="1:5">
      <c r="A593" s="40" t="s">
        <v>51</v>
      </c>
      <c r="B593" s="41">
        <v>197205.79</v>
      </c>
      <c r="C593" s="41">
        <v>227321.58</v>
      </c>
      <c r="D593" s="42">
        <v>6899.91</v>
      </c>
      <c r="E593" s="39">
        <f>C593/B593*100</f>
        <v>115.27125040294202</v>
      </c>
    </row>
    <row r="594" spans="1:5">
      <c r="A594" s="40" t="s">
        <v>34</v>
      </c>
      <c r="B594" s="41">
        <v>0</v>
      </c>
      <c r="C594" s="41">
        <v>2135.4499999999998</v>
      </c>
      <c r="D594" s="42">
        <v>56628.84</v>
      </c>
      <c r="E594" s="39"/>
    </row>
    <row r="595" spans="1:5">
      <c r="A595" s="43" t="s">
        <v>45</v>
      </c>
      <c r="B595" s="44">
        <v>1654405.54</v>
      </c>
      <c r="C595" s="44">
        <v>1580825.52</v>
      </c>
      <c r="D595" s="45">
        <v>344763.57</v>
      </c>
      <c r="E595" s="46">
        <f>C595/B595*100</f>
        <v>95.552479835143686</v>
      </c>
    </row>
    <row r="596" spans="1:5">
      <c r="A596" s="54" t="s">
        <v>136</v>
      </c>
      <c r="B596" s="54"/>
      <c r="C596" s="54"/>
      <c r="D596" s="54"/>
      <c r="E596" s="39"/>
    </row>
    <row r="597" spans="1:5">
      <c r="A597" s="40" t="s">
        <v>35</v>
      </c>
      <c r="B597" s="41">
        <v>720020.52</v>
      </c>
      <c r="C597" s="41">
        <v>681942.26</v>
      </c>
      <c r="D597" s="42">
        <v>157060.23000000001</v>
      </c>
      <c r="E597" s="39">
        <f>C597/B597*100</f>
        <v>94.711503499928028</v>
      </c>
    </row>
    <row r="598" spans="1:5">
      <c r="A598" s="40" t="s">
        <v>39</v>
      </c>
      <c r="B598" s="41">
        <v>0</v>
      </c>
      <c r="C598" s="41">
        <v>2132.8000000000002</v>
      </c>
      <c r="D598" s="42">
        <v>-4997.7299999999996</v>
      </c>
      <c r="E598" s="39"/>
    </row>
    <row r="599" spans="1:5">
      <c r="A599" s="40" t="s">
        <v>44</v>
      </c>
      <c r="B599" s="41">
        <v>0</v>
      </c>
      <c r="C599" s="41">
        <v>-26111.27</v>
      </c>
      <c r="D599" s="42">
        <v>1584.61</v>
      </c>
      <c r="E599" s="39"/>
    </row>
    <row r="600" spans="1:5">
      <c r="A600" s="40" t="s">
        <v>43</v>
      </c>
      <c r="B600" s="41">
        <v>36826.550000000003</v>
      </c>
      <c r="C600" s="41">
        <v>33371.480000000003</v>
      </c>
      <c r="D600" s="42">
        <v>10465.86</v>
      </c>
      <c r="E600" s="39">
        <f>C600/B600*100</f>
        <v>90.61799163918424</v>
      </c>
    </row>
    <row r="601" spans="1:5">
      <c r="A601" s="40" t="s">
        <v>34</v>
      </c>
      <c r="B601" s="41">
        <v>0</v>
      </c>
      <c r="C601" s="41">
        <v>41608.58</v>
      </c>
      <c r="D601" s="42">
        <v>193553.45</v>
      </c>
      <c r="E601" s="39"/>
    </row>
    <row r="602" spans="1:5">
      <c r="A602" s="40" t="s">
        <v>36</v>
      </c>
      <c r="B602" s="41">
        <v>129967.44</v>
      </c>
      <c r="C602" s="41">
        <v>136315.57</v>
      </c>
      <c r="D602" s="42">
        <v>26855.82</v>
      </c>
      <c r="E602" s="39">
        <f>C602/B602*100</f>
        <v>104.88440027748489</v>
      </c>
    </row>
    <row r="603" spans="1:5">
      <c r="A603" s="40" t="s">
        <v>42</v>
      </c>
      <c r="B603" s="41">
        <v>95825.16</v>
      </c>
      <c r="C603" s="41">
        <v>90219.58</v>
      </c>
      <c r="D603" s="42">
        <v>19909.810000000001</v>
      </c>
      <c r="E603" s="39">
        <f>C603/B603*100</f>
        <v>94.150200218815186</v>
      </c>
    </row>
    <row r="604" spans="1:5">
      <c r="A604" s="53" t="s">
        <v>96</v>
      </c>
      <c r="B604" s="53"/>
      <c r="C604" s="53"/>
      <c r="D604" s="53"/>
      <c r="E604" s="39"/>
    </row>
    <row r="605" spans="1:5">
      <c r="A605" s="36" t="s">
        <v>28</v>
      </c>
      <c r="B605" s="36" t="s">
        <v>29</v>
      </c>
      <c r="C605" s="36" t="s">
        <v>30</v>
      </c>
      <c r="D605" s="37" t="s">
        <v>31</v>
      </c>
      <c r="E605" s="39"/>
    </row>
    <row r="606" spans="1:5">
      <c r="A606" s="40" t="s">
        <v>52</v>
      </c>
      <c r="B606" s="41">
        <v>-7448.77</v>
      </c>
      <c r="C606" s="41">
        <v>-7413.17</v>
      </c>
      <c r="D606" s="42">
        <v>-35.6</v>
      </c>
      <c r="E606" s="39">
        <f t="shared" ref="E606:E618" si="20">C606/B606*100</f>
        <v>99.522068744235625</v>
      </c>
    </row>
    <row r="607" spans="1:5">
      <c r="A607" s="40" t="s">
        <v>50</v>
      </c>
      <c r="B607" s="41">
        <v>32962.230000000003</v>
      </c>
      <c r="C607" s="41">
        <v>28527.66</v>
      </c>
      <c r="D607" s="42">
        <v>12879.62</v>
      </c>
      <c r="E607" s="39">
        <f t="shared" si="20"/>
        <v>86.546510961181923</v>
      </c>
    </row>
    <row r="608" spans="1:5">
      <c r="A608" s="40" t="s">
        <v>41</v>
      </c>
      <c r="B608" s="41">
        <v>82422.37</v>
      </c>
      <c r="C608" s="41">
        <v>72926.490000000005</v>
      </c>
      <c r="D608" s="42">
        <v>31581.9</v>
      </c>
      <c r="E608" s="39">
        <f t="shared" si="20"/>
        <v>88.479001513788077</v>
      </c>
    </row>
    <row r="609" spans="1:5">
      <c r="A609" s="40" t="s">
        <v>40</v>
      </c>
      <c r="B609" s="41">
        <v>35487.480000000003</v>
      </c>
      <c r="C609" s="41">
        <v>34305.120000000003</v>
      </c>
      <c r="D609" s="42">
        <v>8409.91</v>
      </c>
      <c r="E609" s="39">
        <f t="shared" si="20"/>
        <v>96.668233416404874</v>
      </c>
    </row>
    <row r="610" spans="1:5">
      <c r="A610" s="40" t="s">
        <v>38</v>
      </c>
      <c r="B610" s="41">
        <v>5847.89</v>
      </c>
      <c r="C610" s="41">
        <v>4921</v>
      </c>
      <c r="D610" s="42">
        <v>1185.1300000000001</v>
      </c>
      <c r="E610" s="39">
        <f t="shared" si="20"/>
        <v>84.150009661604443</v>
      </c>
    </row>
    <row r="611" spans="1:5">
      <c r="A611" s="40" t="s">
        <v>37</v>
      </c>
      <c r="B611" s="41">
        <v>52470.36</v>
      </c>
      <c r="C611" s="41">
        <v>53216.6</v>
      </c>
      <c r="D611" s="42">
        <v>13140.83</v>
      </c>
      <c r="E611" s="39">
        <f t="shared" si="20"/>
        <v>101.42221246433225</v>
      </c>
    </row>
    <row r="612" spans="1:5">
      <c r="A612" s="40" t="s">
        <v>47</v>
      </c>
      <c r="B612" s="41">
        <v>12796.6</v>
      </c>
      <c r="C612" s="41">
        <v>716.77</v>
      </c>
      <c r="D612" s="42">
        <v>2636.8</v>
      </c>
      <c r="E612" s="39">
        <f t="shared" si="20"/>
        <v>5.6012534579497677</v>
      </c>
    </row>
    <row r="613" spans="1:5">
      <c r="A613" s="40" t="s">
        <v>135</v>
      </c>
      <c r="B613" s="41">
        <v>47475.48</v>
      </c>
      <c r="C613" s="41">
        <v>41104.51</v>
      </c>
      <c r="D613" s="42">
        <v>10061.219999999999</v>
      </c>
      <c r="E613" s="39">
        <f t="shared" si="20"/>
        <v>86.58050429400609</v>
      </c>
    </row>
    <row r="614" spans="1:5">
      <c r="A614" s="40" t="s">
        <v>33</v>
      </c>
      <c r="B614" s="41">
        <v>136296.29999999999</v>
      </c>
      <c r="C614" s="41">
        <v>140886.45000000001</v>
      </c>
      <c r="D614" s="42">
        <v>28111.599999999999</v>
      </c>
      <c r="E614" s="39">
        <f t="shared" si="20"/>
        <v>103.36777300631053</v>
      </c>
    </row>
    <row r="615" spans="1:5">
      <c r="A615" s="40" t="s">
        <v>53</v>
      </c>
      <c r="B615" s="41">
        <v>-11641.53</v>
      </c>
      <c r="C615" s="41">
        <v>-11942.38</v>
      </c>
      <c r="D615" s="42">
        <v>300.85000000000002</v>
      </c>
      <c r="E615" s="39">
        <f t="shared" si="20"/>
        <v>102.58428230653529</v>
      </c>
    </row>
    <row r="616" spans="1:5">
      <c r="A616" s="40" t="s">
        <v>51</v>
      </c>
      <c r="B616" s="41">
        <v>264211.99</v>
      </c>
      <c r="C616" s="41">
        <v>231565.53</v>
      </c>
      <c r="D616" s="42">
        <v>82004.509999999995</v>
      </c>
      <c r="E616" s="39">
        <f t="shared" si="20"/>
        <v>87.643838570687123</v>
      </c>
    </row>
    <row r="617" spans="1:5">
      <c r="A617" s="40" t="s">
        <v>32</v>
      </c>
      <c r="B617" s="41">
        <v>109085.1</v>
      </c>
      <c r="C617" s="41">
        <v>112786.72</v>
      </c>
      <c r="D617" s="42">
        <v>22274.81</v>
      </c>
      <c r="E617" s="39">
        <f t="shared" si="20"/>
        <v>103.39333236161492</v>
      </c>
    </row>
    <row r="618" spans="1:5">
      <c r="A618" s="43" t="s">
        <v>45</v>
      </c>
      <c r="B618" s="44">
        <v>1742605.17</v>
      </c>
      <c r="C618" s="44">
        <v>1661080.3</v>
      </c>
      <c r="D618" s="45">
        <v>616983.63</v>
      </c>
      <c r="E618" s="46">
        <f t="shared" si="20"/>
        <v>95.321667156536677</v>
      </c>
    </row>
    <row r="619" spans="1:5">
      <c r="A619" s="54" t="s">
        <v>137</v>
      </c>
      <c r="B619" s="54"/>
      <c r="C619" s="54"/>
      <c r="D619" s="54"/>
      <c r="E619" s="39"/>
    </row>
    <row r="620" spans="1:5">
      <c r="A620" s="40" t="s">
        <v>39</v>
      </c>
      <c r="B620" s="41">
        <v>0</v>
      </c>
      <c r="C620" s="41">
        <v>1736.93</v>
      </c>
      <c r="D620" s="42">
        <v>-4718.93</v>
      </c>
      <c r="E620" s="39"/>
    </row>
    <row r="621" spans="1:5">
      <c r="A621" s="40" t="s">
        <v>37</v>
      </c>
      <c r="B621" s="41">
        <v>43756.75</v>
      </c>
      <c r="C621" s="41">
        <v>37334.089999999997</v>
      </c>
      <c r="D621" s="42">
        <v>21662.71</v>
      </c>
      <c r="E621" s="39">
        <f>C621/B621*100</f>
        <v>85.321898907025755</v>
      </c>
    </row>
    <row r="622" spans="1:5">
      <c r="A622" s="40" t="s">
        <v>34</v>
      </c>
      <c r="B622" s="41">
        <v>0</v>
      </c>
      <c r="C622" s="41">
        <v>35838.29</v>
      </c>
      <c r="D622" s="42">
        <v>773786.72</v>
      </c>
      <c r="E622" s="39"/>
    </row>
    <row r="623" spans="1:5">
      <c r="A623" s="40" t="s">
        <v>35</v>
      </c>
      <c r="B623" s="41">
        <v>713576.1</v>
      </c>
      <c r="C623" s="41">
        <v>633747.15</v>
      </c>
      <c r="D623" s="42">
        <v>212420.5</v>
      </c>
      <c r="E623" s="39">
        <f>C623/B623*100</f>
        <v>88.812832997069279</v>
      </c>
    </row>
    <row r="624" spans="1:5">
      <c r="A624" s="40" t="s">
        <v>40</v>
      </c>
      <c r="B624" s="41">
        <v>24817.32</v>
      </c>
      <c r="C624" s="41">
        <v>16892.54</v>
      </c>
      <c r="D624" s="42">
        <v>19223.849999999999</v>
      </c>
      <c r="E624" s="39">
        <f>C624/B624*100</f>
        <v>68.067543151315292</v>
      </c>
    </row>
    <row r="625" spans="1:5">
      <c r="A625" s="40" t="s">
        <v>44</v>
      </c>
      <c r="B625" s="41">
        <v>0</v>
      </c>
      <c r="C625" s="41">
        <v>-16617.62</v>
      </c>
      <c r="D625" s="42">
        <v>3935.75</v>
      </c>
      <c r="E625" s="39"/>
    </row>
    <row r="626" spans="1:5">
      <c r="A626" s="40" t="s">
        <v>38</v>
      </c>
      <c r="B626" s="41">
        <v>4886.9399999999996</v>
      </c>
      <c r="C626" s="41">
        <v>4587.0600000000004</v>
      </c>
      <c r="D626" s="42">
        <v>1101.8599999999999</v>
      </c>
      <c r="E626" s="39">
        <f t="shared" ref="E626:E639" si="21">C626/B626*100</f>
        <v>93.863644734741996</v>
      </c>
    </row>
    <row r="627" spans="1:5">
      <c r="A627" s="40" t="s">
        <v>33</v>
      </c>
      <c r="B627" s="41">
        <v>135076.62</v>
      </c>
      <c r="C627" s="41">
        <v>128066.79</v>
      </c>
      <c r="D627" s="42">
        <v>38034.75</v>
      </c>
      <c r="E627" s="39">
        <f t="shared" si="21"/>
        <v>94.810478674992012</v>
      </c>
    </row>
    <row r="628" spans="1:5">
      <c r="A628" s="40" t="s">
        <v>47</v>
      </c>
      <c r="B628" s="41">
        <v>10254.120000000001</v>
      </c>
      <c r="C628" s="41">
        <v>789.82</v>
      </c>
      <c r="D628" s="42">
        <v>2613.1999999999998</v>
      </c>
      <c r="E628" s="39">
        <f t="shared" si="21"/>
        <v>7.7024649604256634</v>
      </c>
    </row>
    <row r="629" spans="1:5">
      <c r="A629" s="40" t="s">
        <v>53</v>
      </c>
      <c r="B629" s="41">
        <v>3239.6</v>
      </c>
      <c r="C629" s="41">
        <v>2615.34</v>
      </c>
      <c r="D629" s="42">
        <v>624.26</v>
      </c>
      <c r="E629" s="39">
        <f t="shared" si="21"/>
        <v>80.730337078651687</v>
      </c>
    </row>
    <row r="630" spans="1:5">
      <c r="A630" s="40" t="s">
        <v>50</v>
      </c>
      <c r="B630" s="41">
        <v>29198.58</v>
      </c>
      <c r="C630" s="41">
        <v>20004.22</v>
      </c>
      <c r="D630" s="42">
        <v>18277.91</v>
      </c>
      <c r="E630" s="39">
        <f t="shared" si="21"/>
        <v>68.510934435852704</v>
      </c>
    </row>
    <row r="631" spans="1:5">
      <c r="A631" s="40" t="s">
        <v>43</v>
      </c>
      <c r="B631" s="41">
        <v>30767.64</v>
      </c>
      <c r="C631" s="41">
        <v>25609.95</v>
      </c>
      <c r="D631" s="42">
        <v>12525.33</v>
      </c>
      <c r="E631" s="39">
        <f t="shared" si="21"/>
        <v>83.236640834331141</v>
      </c>
    </row>
    <row r="632" spans="1:5">
      <c r="A632" s="40" t="s">
        <v>52</v>
      </c>
      <c r="B632" s="41">
        <v>-7008.6</v>
      </c>
      <c r="C632" s="41">
        <v>-6827.01</v>
      </c>
      <c r="D632" s="42">
        <v>-181.59</v>
      </c>
      <c r="E632" s="39">
        <f t="shared" si="21"/>
        <v>97.409040321890245</v>
      </c>
    </row>
    <row r="633" spans="1:5">
      <c r="A633" s="40" t="s">
        <v>32</v>
      </c>
      <c r="B633" s="41">
        <v>108108.48</v>
      </c>
      <c r="C633" s="41">
        <v>102378.65</v>
      </c>
      <c r="D633" s="42">
        <v>30361.7</v>
      </c>
      <c r="E633" s="39">
        <f t="shared" si="21"/>
        <v>94.699925482256347</v>
      </c>
    </row>
    <row r="634" spans="1:5">
      <c r="A634" s="40" t="s">
        <v>41</v>
      </c>
      <c r="B634" s="41">
        <v>70397.100000000006</v>
      </c>
      <c r="C634" s="41">
        <v>50780.09</v>
      </c>
      <c r="D634" s="42">
        <v>44056.26</v>
      </c>
      <c r="E634" s="39">
        <f t="shared" si="21"/>
        <v>72.133781079050124</v>
      </c>
    </row>
    <row r="635" spans="1:5">
      <c r="A635" s="40" t="s">
        <v>36</v>
      </c>
      <c r="B635" s="41">
        <v>128804.22</v>
      </c>
      <c r="C635" s="41">
        <v>122542.43</v>
      </c>
      <c r="D635" s="42">
        <v>36394.800000000003</v>
      </c>
      <c r="E635" s="39">
        <f t="shared" si="21"/>
        <v>95.138521082616705</v>
      </c>
    </row>
    <row r="636" spans="1:5">
      <c r="A636" s="40" t="s">
        <v>42</v>
      </c>
      <c r="B636" s="41">
        <v>105320.04</v>
      </c>
      <c r="C636" s="41">
        <v>99899.17</v>
      </c>
      <c r="D636" s="42">
        <v>18311.95</v>
      </c>
      <c r="E636" s="39">
        <f t="shared" si="21"/>
        <v>94.852954860252623</v>
      </c>
    </row>
    <row r="637" spans="1:5">
      <c r="A637" s="40" t="s">
        <v>51</v>
      </c>
      <c r="B637" s="41">
        <v>181716.96</v>
      </c>
      <c r="C637" s="41">
        <v>129732.17</v>
      </c>
      <c r="D637" s="42">
        <v>107522.74</v>
      </c>
      <c r="E637" s="39">
        <f t="shared" si="21"/>
        <v>71.392439098695021</v>
      </c>
    </row>
    <row r="638" spans="1:5">
      <c r="A638" s="40" t="s">
        <v>135</v>
      </c>
      <c r="B638" s="41">
        <v>47403.64</v>
      </c>
      <c r="C638" s="41">
        <v>41203.589999999997</v>
      </c>
      <c r="D638" s="42">
        <v>11034.66</v>
      </c>
      <c r="E638" s="39">
        <f t="shared" si="21"/>
        <v>86.920730138023146</v>
      </c>
    </row>
    <row r="639" spans="1:5">
      <c r="A639" s="43" t="s">
        <v>45</v>
      </c>
      <c r="B639" s="44">
        <v>1630315.51</v>
      </c>
      <c r="C639" s="44">
        <v>1430313.65</v>
      </c>
      <c r="D639" s="45">
        <v>1346988.43</v>
      </c>
      <c r="E639" s="46">
        <f t="shared" si="21"/>
        <v>87.732321825239822</v>
      </c>
    </row>
    <row r="640" spans="1:5">
      <c r="A640" s="54" t="s">
        <v>138</v>
      </c>
      <c r="B640" s="54"/>
      <c r="C640" s="54"/>
      <c r="D640" s="54"/>
      <c r="E640" s="39"/>
    </row>
    <row r="641" spans="1:5">
      <c r="A641" s="40" t="s">
        <v>38</v>
      </c>
      <c r="B641" s="41">
        <v>5431.78</v>
      </c>
      <c r="C641" s="41">
        <v>4769.83</v>
      </c>
      <c r="D641" s="42">
        <v>2037.91</v>
      </c>
      <c r="E641" s="39">
        <f t="shared" ref="E641:E647" si="22">C641/B641*100</f>
        <v>87.813387140127176</v>
      </c>
    </row>
    <row r="642" spans="1:5">
      <c r="A642" s="40" t="s">
        <v>52</v>
      </c>
      <c r="B642" s="41">
        <v>-4395.79</v>
      </c>
      <c r="C642" s="41">
        <v>-4569.34</v>
      </c>
      <c r="D642" s="42">
        <v>-157.22999999999999</v>
      </c>
      <c r="E642" s="39">
        <f t="shared" si="22"/>
        <v>103.94809579165521</v>
      </c>
    </row>
    <row r="643" spans="1:5">
      <c r="A643" s="40" t="s">
        <v>40</v>
      </c>
      <c r="B643" s="41">
        <v>42505.32</v>
      </c>
      <c r="C643" s="41">
        <v>41252.699999999997</v>
      </c>
      <c r="D643" s="42">
        <v>7440.06</v>
      </c>
      <c r="E643" s="39">
        <f t="shared" si="22"/>
        <v>97.053027715118944</v>
      </c>
    </row>
    <row r="644" spans="1:5">
      <c r="A644" s="40" t="s">
        <v>50</v>
      </c>
      <c r="B644" s="41">
        <v>26604.03</v>
      </c>
      <c r="C644" s="41">
        <v>21897.439999999999</v>
      </c>
      <c r="D644" s="42">
        <v>13689.93</v>
      </c>
      <c r="E644" s="39">
        <f t="shared" si="22"/>
        <v>82.308732925049327</v>
      </c>
    </row>
    <row r="645" spans="1:5">
      <c r="A645" s="40" t="s">
        <v>32</v>
      </c>
      <c r="B645" s="41">
        <v>111509.04</v>
      </c>
      <c r="C645" s="41">
        <v>112370.07</v>
      </c>
      <c r="D645" s="42">
        <v>31779.37</v>
      </c>
      <c r="E645" s="39">
        <f t="shared" si="22"/>
        <v>100.77216161129179</v>
      </c>
    </row>
    <row r="646" spans="1:5">
      <c r="A646" s="40" t="s">
        <v>51</v>
      </c>
      <c r="B646" s="41">
        <v>255308.86</v>
      </c>
      <c r="C646" s="41">
        <v>262289.12</v>
      </c>
      <c r="D646" s="42">
        <v>74103.960000000006</v>
      </c>
      <c r="E646" s="39">
        <f t="shared" si="22"/>
        <v>102.7340453441373</v>
      </c>
    </row>
    <row r="647" spans="1:5">
      <c r="A647" s="40" t="s">
        <v>53</v>
      </c>
      <c r="B647" s="41">
        <v>-2843.34</v>
      </c>
      <c r="C647" s="41">
        <v>-45358.53</v>
      </c>
      <c r="D647" s="42">
        <v>550.14</v>
      </c>
      <c r="E647" s="39">
        <f t="shared" si="22"/>
        <v>1595.2552280064992</v>
      </c>
    </row>
    <row r="648" spans="1:5">
      <c r="A648" s="40" t="s">
        <v>44</v>
      </c>
      <c r="B648" s="41">
        <v>0</v>
      </c>
      <c r="C648" s="41">
        <v>-33461.07</v>
      </c>
      <c r="D648" s="42">
        <v>5426.77</v>
      </c>
      <c r="E648" s="39"/>
    </row>
    <row r="649" spans="1:5">
      <c r="A649" s="40" t="s">
        <v>42</v>
      </c>
      <c r="B649" s="41">
        <v>91725.84</v>
      </c>
      <c r="C649" s="41">
        <v>82044.61</v>
      </c>
      <c r="D649" s="42">
        <v>27985.39</v>
      </c>
      <c r="E649" s="39">
        <f>C649/B649*100</f>
        <v>89.445471417868731</v>
      </c>
    </row>
    <row r="650" spans="1:5">
      <c r="A650" s="40" t="s">
        <v>33</v>
      </c>
      <c r="B650" s="41">
        <v>139324.98000000001</v>
      </c>
      <c r="C650" s="41">
        <v>140125.82</v>
      </c>
      <c r="D650" s="42">
        <v>39811.96</v>
      </c>
      <c r="E650" s="39">
        <f>C650/B650*100</f>
        <v>100.57480001073749</v>
      </c>
    </row>
    <row r="651" spans="1:5">
      <c r="A651" s="40" t="s">
        <v>35</v>
      </c>
      <c r="B651" s="41">
        <v>736021.92</v>
      </c>
      <c r="C651" s="41">
        <v>669070.28</v>
      </c>
      <c r="D651" s="42">
        <v>221040.21</v>
      </c>
      <c r="E651" s="39">
        <f>C651/B651*100</f>
        <v>90.903580697705308</v>
      </c>
    </row>
    <row r="652" spans="1:5">
      <c r="A652" s="40" t="s">
        <v>43</v>
      </c>
      <c r="B652" s="41">
        <v>34223.06</v>
      </c>
      <c r="C652" s="41">
        <v>29619.200000000001</v>
      </c>
      <c r="D652" s="42">
        <v>13618.43</v>
      </c>
      <c r="E652" s="39">
        <f>C652/B652*100</f>
        <v>86.547491662054782</v>
      </c>
    </row>
    <row r="653" spans="1:5">
      <c r="A653" s="40" t="s">
        <v>39</v>
      </c>
      <c r="B653" s="41">
        <v>0</v>
      </c>
      <c r="C653" s="41">
        <v>1543.17</v>
      </c>
      <c r="D653" s="42">
        <v>-4112.92</v>
      </c>
      <c r="E653" s="39"/>
    </row>
    <row r="654" spans="1:5">
      <c r="A654" s="40" t="s">
        <v>34</v>
      </c>
      <c r="B654" s="41">
        <v>0</v>
      </c>
      <c r="C654" s="41">
        <v>174086.53</v>
      </c>
      <c r="D654" s="42">
        <v>1019600.13</v>
      </c>
      <c r="E654" s="39"/>
    </row>
    <row r="655" spans="1:5">
      <c r="A655" s="40" t="s">
        <v>36</v>
      </c>
      <c r="B655" s="41">
        <v>132856.5</v>
      </c>
      <c r="C655" s="41">
        <v>134678.32999999999</v>
      </c>
      <c r="D655" s="42">
        <v>38067.82</v>
      </c>
      <c r="E655" s="39">
        <f t="shared" ref="E655:E660" si="23">C655/B655*100</f>
        <v>101.37127652768211</v>
      </c>
    </row>
    <row r="656" spans="1:5">
      <c r="A656" s="40" t="s">
        <v>47</v>
      </c>
      <c r="B656" s="41">
        <v>9442.16</v>
      </c>
      <c r="C656" s="41">
        <v>347.54</v>
      </c>
      <c r="D656" s="42">
        <v>2629.56</v>
      </c>
      <c r="E656" s="39">
        <f t="shared" si="23"/>
        <v>3.6807255966855044</v>
      </c>
    </row>
    <row r="657" spans="1:5">
      <c r="A657" s="40" t="s">
        <v>135</v>
      </c>
      <c r="B657" s="41">
        <v>44218.83</v>
      </c>
      <c r="C657" s="41">
        <v>36045.57</v>
      </c>
      <c r="D657" s="42">
        <v>11916.91</v>
      </c>
      <c r="E657" s="39">
        <f t="shared" si="23"/>
        <v>81.516335913908165</v>
      </c>
    </row>
    <row r="658" spans="1:5">
      <c r="A658" s="40" t="s">
        <v>37</v>
      </c>
      <c r="B658" s="41">
        <v>43277.77</v>
      </c>
      <c r="C658" s="41">
        <v>40982.99</v>
      </c>
      <c r="D658" s="42">
        <v>16451.099999999999</v>
      </c>
      <c r="E658" s="39">
        <f t="shared" si="23"/>
        <v>94.697554887878937</v>
      </c>
    </row>
    <row r="659" spans="1:5">
      <c r="A659" s="40" t="s">
        <v>41</v>
      </c>
      <c r="B659" s="41">
        <v>67416.25</v>
      </c>
      <c r="C659" s="41">
        <v>56108.37</v>
      </c>
      <c r="D659" s="42">
        <v>33334.550000000003</v>
      </c>
      <c r="E659" s="39">
        <f t="shared" si="23"/>
        <v>83.226773960284063</v>
      </c>
    </row>
    <row r="660" spans="1:5">
      <c r="A660" s="43" t="s">
        <v>45</v>
      </c>
      <c r="B660" s="44">
        <v>1732627.21</v>
      </c>
      <c r="C660" s="44">
        <v>1723842.63</v>
      </c>
      <c r="D660" s="45">
        <v>1555214.05</v>
      </c>
      <c r="E660" s="46">
        <f t="shared" si="23"/>
        <v>99.492990762854276</v>
      </c>
    </row>
    <row r="661" spans="1:5">
      <c r="A661" s="54" t="s">
        <v>139</v>
      </c>
      <c r="B661" s="54"/>
      <c r="C661" s="54"/>
      <c r="D661" s="54"/>
      <c r="E661" s="39"/>
    </row>
    <row r="662" spans="1:5">
      <c r="A662" s="40" t="s">
        <v>34</v>
      </c>
      <c r="B662" s="41">
        <v>0</v>
      </c>
      <c r="C662" s="41">
        <v>7609.88</v>
      </c>
      <c r="D662" s="42">
        <v>2.21</v>
      </c>
      <c r="E662" s="39"/>
    </row>
    <row r="663" spans="1:5">
      <c r="A663" s="40" t="s">
        <v>37</v>
      </c>
      <c r="B663" s="41">
        <v>44789.7</v>
      </c>
      <c r="C663" s="41">
        <v>46781.52</v>
      </c>
      <c r="D663" s="42">
        <v>4339.6499999999996</v>
      </c>
      <c r="E663" s="39">
        <f>C663/B663*100</f>
        <v>104.44704920997461</v>
      </c>
    </row>
    <row r="664" spans="1:5">
      <c r="A664" s="40" t="s">
        <v>43</v>
      </c>
      <c r="B664" s="41">
        <v>32983.11</v>
      </c>
      <c r="C664" s="41">
        <v>31757.67</v>
      </c>
      <c r="D664" s="42">
        <v>5393.26</v>
      </c>
      <c r="E664" s="39">
        <f>C664/B664*100</f>
        <v>96.284643867725023</v>
      </c>
    </row>
    <row r="665" spans="1:5">
      <c r="A665" s="40" t="s">
        <v>32</v>
      </c>
      <c r="B665" s="41">
        <v>110375.75</v>
      </c>
      <c r="C665" s="41">
        <v>117077.39</v>
      </c>
      <c r="D665" s="42">
        <v>18023.169999999998</v>
      </c>
      <c r="E665" s="39">
        <f>C665/B665*100</f>
        <v>106.07165976222133</v>
      </c>
    </row>
    <row r="666" spans="1:5">
      <c r="A666" s="40" t="s">
        <v>35</v>
      </c>
      <c r="B666" s="41">
        <v>728540.16000000003</v>
      </c>
      <c r="C666" s="41">
        <v>706229.59</v>
      </c>
      <c r="D666" s="42">
        <v>127642.39</v>
      </c>
      <c r="E666" s="39">
        <f>C666/B666*100</f>
        <v>96.937633472394978</v>
      </c>
    </row>
    <row r="667" spans="1:5">
      <c r="A667" s="40" t="s">
        <v>39</v>
      </c>
      <c r="B667" s="41">
        <v>0</v>
      </c>
      <c r="C667" s="41">
        <v>1644.51</v>
      </c>
      <c r="D667" s="42">
        <v>-4090.21</v>
      </c>
      <c r="E667" s="39"/>
    </row>
    <row r="668" spans="1:5">
      <c r="A668" s="40" t="s">
        <v>41</v>
      </c>
      <c r="B668" s="41">
        <v>71654.27</v>
      </c>
      <c r="C668" s="41">
        <v>70029.73</v>
      </c>
      <c r="D668" s="42">
        <v>10321.89</v>
      </c>
      <c r="E668" s="39">
        <f>C668/B668*100</f>
        <v>97.732807828479721</v>
      </c>
    </row>
    <row r="669" spans="1:5">
      <c r="A669" s="40" t="s">
        <v>135</v>
      </c>
      <c r="B669" s="41">
        <v>44969.02</v>
      </c>
      <c r="C669" s="41">
        <v>39688.49</v>
      </c>
      <c r="D669" s="42">
        <v>7745.31</v>
      </c>
      <c r="E669" s="39">
        <f>C669/B669*100</f>
        <v>88.257404764435606</v>
      </c>
    </row>
    <row r="670" spans="1:5">
      <c r="A670" s="40" t="s">
        <v>40</v>
      </c>
      <c r="B670" s="41">
        <v>19252.68</v>
      </c>
      <c r="C670" s="41">
        <v>18585.16</v>
      </c>
      <c r="D670" s="42">
        <v>3195.72</v>
      </c>
      <c r="E670" s="39">
        <f>C670/B670*100</f>
        <v>96.532846336198389</v>
      </c>
    </row>
    <row r="671" spans="1:5">
      <c r="A671" s="40" t="s">
        <v>53</v>
      </c>
      <c r="B671" s="41">
        <v>-66909.52</v>
      </c>
      <c r="C671" s="41">
        <v>-124934.11</v>
      </c>
      <c r="D671" s="42">
        <v>0</v>
      </c>
      <c r="E671" s="39">
        <f>C671/B671*100</f>
        <v>186.72097782199003</v>
      </c>
    </row>
    <row r="672" spans="1:5">
      <c r="A672" s="40" t="s">
        <v>52</v>
      </c>
      <c r="B672" s="41">
        <v>-958.25</v>
      </c>
      <c r="C672" s="41">
        <v>-1889.88</v>
      </c>
      <c r="D672" s="42">
        <v>34.57</v>
      </c>
      <c r="E672" s="39">
        <f>C672/B672*100</f>
        <v>197.22201930602662</v>
      </c>
    </row>
    <row r="673" spans="1:5">
      <c r="A673" s="53" t="s">
        <v>96</v>
      </c>
      <c r="B673" s="53"/>
      <c r="C673" s="53"/>
      <c r="D673" s="53"/>
      <c r="E673" s="39"/>
    </row>
    <row r="674" spans="1:5">
      <c r="A674" s="36" t="s">
        <v>28</v>
      </c>
      <c r="B674" s="36" t="s">
        <v>29</v>
      </c>
      <c r="C674" s="36" t="s">
        <v>30</v>
      </c>
      <c r="D674" s="37" t="s">
        <v>31</v>
      </c>
      <c r="E674" s="39"/>
    </row>
    <row r="675" spans="1:5">
      <c r="A675" s="40" t="s">
        <v>38</v>
      </c>
      <c r="B675" s="41">
        <v>5237.6899999999996</v>
      </c>
      <c r="C675" s="41">
        <v>4799.17</v>
      </c>
      <c r="D675" s="42">
        <v>834.07</v>
      </c>
      <c r="E675" s="39">
        <f>C675/B675*100</f>
        <v>91.627606826673599</v>
      </c>
    </row>
    <row r="676" spans="1:5">
      <c r="A676" s="40" t="s">
        <v>50</v>
      </c>
      <c r="B676" s="41">
        <v>29474.97</v>
      </c>
      <c r="C676" s="41">
        <v>28359.78</v>
      </c>
      <c r="D676" s="42">
        <v>5288.49</v>
      </c>
      <c r="E676" s="39">
        <f>C676/B676*100</f>
        <v>96.216484698712151</v>
      </c>
    </row>
    <row r="677" spans="1:5">
      <c r="A677" s="40" t="s">
        <v>33</v>
      </c>
      <c r="B677" s="41">
        <v>137908.26999999999</v>
      </c>
      <c r="C677" s="41">
        <v>146510.95000000001</v>
      </c>
      <c r="D677" s="42">
        <v>22524.73</v>
      </c>
      <c r="E677" s="39">
        <f>C677/B677*100</f>
        <v>106.2379725305814</v>
      </c>
    </row>
    <row r="678" spans="1:5">
      <c r="A678" s="40" t="s">
        <v>51</v>
      </c>
      <c r="B678" s="41">
        <v>322368.11</v>
      </c>
      <c r="C678" s="41">
        <v>433426.22</v>
      </c>
      <c r="D678" s="42">
        <v>-56266.21</v>
      </c>
      <c r="E678" s="39">
        <f>C678/B678*100</f>
        <v>134.45071226183012</v>
      </c>
    </row>
    <row r="679" spans="1:5">
      <c r="A679" s="40" t="s">
        <v>44</v>
      </c>
      <c r="B679" s="41">
        <v>0</v>
      </c>
      <c r="C679" s="41">
        <v>-38120.839999999997</v>
      </c>
      <c r="D679" s="42">
        <v>15.55</v>
      </c>
      <c r="E679" s="39"/>
    </row>
    <row r="680" spans="1:5">
      <c r="A680" s="40" t="s">
        <v>36</v>
      </c>
      <c r="B680" s="41">
        <v>131506.01999999999</v>
      </c>
      <c r="C680" s="41">
        <v>141692.13</v>
      </c>
      <c r="D680" s="42">
        <v>21551.78</v>
      </c>
      <c r="E680" s="39">
        <f>C680/B680*100</f>
        <v>107.74573665905183</v>
      </c>
    </row>
    <row r="681" spans="1:5">
      <c r="A681" s="40" t="s">
        <v>47</v>
      </c>
      <c r="B681" s="41">
        <v>2668</v>
      </c>
      <c r="C681" s="41">
        <v>0</v>
      </c>
      <c r="D681" s="42">
        <v>2668</v>
      </c>
      <c r="E681" s="39">
        <f>C681/B681*100</f>
        <v>0</v>
      </c>
    </row>
    <row r="682" spans="1:5">
      <c r="A682" s="40" t="s">
        <v>42</v>
      </c>
      <c r="B682" s="41">
        <v>113613.72</v>
      </c>
      <c r="C682" s="41">
        <v>108575.05</v>
      </c>
      <c r="D682" s="42">
        <v>17142.07</v>
      </c>
      <c r="E682" s="39">
        <f>C682/B682*100</f>
        <v>95.56508668143249</v>
      </c>
    </row>
    <row r="683" spans="1:5">
      <c r="A683" s="43" t="s">
        <v>45</v>
      </c>
      <c r="B683" s="44">
        <v>1727473.7</v>
      </c>
      <c r="C683" s="44">
        <v>1737822.41</v>
      </c>
      <c r="D683" s="45">
        <v>186366.44</v>
      </c>
      <c r="E683" s="46">
        <f>C683/B683*100</f>
        <v>100.59906613918348</v>
      </c>
    </row>
    <row r="684" spans="1:5">
      <c r="A684" s="54" t="s">
        <v>140</v>
      </c>
      <c r="B684" s="54"/>
      <c r="C684" s="54"/>
      <c r="D684" s="54"/>
      <c r="E684" s="39"/>
    </row>
    <row r="685" spans="1:5">
      <c r="A685" s="40" t="s">
        <v>38</v>
      </c>
      <c r="B685" s="41">
        <v>6684.64</v>
      </c>
      <c r="C685" s="41">
        <v>6221.1</v>
      </c>
      <c r="D685" s="42">
        <v>895.42</v>
      </c>
      <c r="E685" s="39">
        <f>C685/B685*100</f>
        <v>93.065595155460883</v>
      </c>
    </row>
    <row r="686" spans="1:5">
      <c r="A686" s="40" t="s">
        <v>41</v>
      </c>
      <c r="B686" s="41">
        <v>69480.479999999996</v>
      </c>
      <c r="C686" s="41">
        <v>69311.62</v>
      </c>
      <c r="D686" s="42">
        <v>9314.31</v>
      </c>
      <c r="E686" s="39">
        <f>C686/B686*100</f>
        <v>99.756967712370439</v>
      </c>
    </row>
    <row r="687" spans="1:5">
      <c r="A687" s="40" t="s">
        <v>39</v>
      </c>
      <c r="B687" s="41">
        <v>0</v>
      </c>
      <c r="C687" s="41">
        <v>1584.5</v>
      </c>
      <c r="D687" s="42">
        <v>-4209.88</v>
      </c>
      <c r="E687" s="39"/>
    </row>
    <row r="688" spans="1:5">
      <c r="A688" s="40" t="s">
        <v>51</v>
      </c>
      <c r="B688" s="41">
        <v>318886.87</v>
      </c>
      <c r="C688" s="41">
        <v>390955</v>
      </c>
      <c r="D688" s="42">
        <v>-37898.67</v>
      </c>
      <c r="E688" s="39">
        <f>C688/B688*100</f>
        <v>122.59990510114136</v>
      </c>
    </row>
    <row r="689" spans="1:5">
      <c r="A689" s="40" t="s">
        <v>52</v>
      </c>
      <c r="B689" s="41">
        <v>-1443.07</v>
      </c>
      <c r="C689" s="41">
        <v>-1450.97</v>
      </c>
      <c r="D689" s="42">
        <v>-38.81</v>
      </c>
      <c r="E689" s="39">
        <f>C689/B689*100</f>
        <v>100.547443990936</v>
      </c>
    </row>
    <row r="690" spans="1:5">
      <c r="A690" s="40" t="s">
        <v>44</v>
      </c>
      <c r="B690" s="41">
        <v>0</v>
      </c>
      <c r="C690" s="41">
        <v>-37007.9</v>
      </c>
      <c r="D690" s="42">
        <v>31.02</v>
      </c>
      <c r="E690" s="39"/>
    </row>
    <row r="691" spans="1:5">
      <c r="A691" s="40" t="s">
        <v>34</v>
      </c>
      <c r="B691" s="41">
        <v>0</v>
      </c>
      <c r="C691" s="41">
        <v>15958.54</v>
      </c>
      <c r="D691" s="42">
        <v>572.07000000000005</v>
      </c>
      <c r="E691" s="39"/>
    </row>
    <row r="692" spans="1:5">
      <c r="A692" s="40" t="s">
        <v>47</v>
      </c>
      <c r="B692" s="41">
        <v>9756.4</v>
      </c>
      <c r="C692" s="41">
        <v>907.6</v>
      </c>
      <c r="D692" s="42">
        <v>2448.6</v>
      </c>
      <c r="E692" s="39">
        <f t="shared" ref="E692:E704" si="24">C692/B692*100</f>
        <v>9.3026116190398103</v>
      </c>
    </row>
    <row r="693" spans="1:5">
      <c r="A693" s="40" t="s">
        <v>36</v>
      </c>
      <c r="B693" s="41">
        <v>130342.74</v>
      </c>
      <c r="C693" s="41">
        <v>141024.10999999999</v>
      </c>
      <c r="D693" s="42">
        <v>19309.41</v>
      </c>
      <c r="E693" s="39">
        <f t="shared" si="24"/>
        <v>108.19483309925815</v>
      </c>
    </row>
    <row r="694" spans="1:5">
      <c r="A694" s="40" t="s">
        <v>37</v>
      </c>
      <c r="B694" s="41">
        <v>42213.19</v>
      </c>
      <c r="C694" s="41">
        <v>44156.04</v>
      </c>
      <c r="D694" s="42">
        <v>3782.54</v>
      </c>
      <c r="E694" s="39">
        <f t="shared" si="24"/>
        <v>104.60247140763347</v>
      </c>
    </row>
    <row r="695" spans="1:5">
      <c r="A695" s="40" t="s">
        <v>42</v>
      </c>
      <c r="B695" s="41">
        <v>120276.96</v>
      </c>
      <c r="C695" s="41">
        <v>118502.19</v>
      </c>
      <c r="D695" s="42">
        <v>16083.98</v>
      </c>
      <c r="E695" s="39">
        <f t="shared" si="24"/>
        <v>98.52443061414256</v>
      </c>
    </row>
    <row r="696" spans="1:5">
      <c r="A696" s="40" t="s">
        <v>32</v>
      </c>
      <c r="B696" s="41">
        <v>109399.38</v>
      </c>
      <c r="C696" s="41">
        <v>118031.6</v>
      </c>
      <c r="D696" s="42">
        <v>16225.69</v>
      </c>
      <c r="E696" s="39">
        <f t="shared" si="24"/>
        <v>107.89055660096064</v>
      </c>
    </row>
    <row r="697" spans="1:5">
      <c r="A697" s="40" t="s">
        <v>135</v>
      </c>
      <c r="B697" s="41">
        <v>45641.47</v>
      </c>
      <c r="C697" s="41">
        <v>39885.589999999997</v>
      </c>
      <c r="D697" s="42">
        <v>6356.01</v>
      </c>
      <c r="E697" s="39">
        <f t="shared" si="24"/>
        <v>87.388925028050139</v>
      </c>
    </row>
    <row r="698" spans="1:5">
      <c r="A698" s="40" t="s">
        <v>33</v>
      </c>
      <c r="B698" s="41">
        <v>136688.76</v>
      </c>
      <c r="C698" s="41">
        <v>147651.75</v>
      </c>
      <c r="D698" s="42">
        <v>20276.419999999998</v>
      </c>
      <c r="E698" s="39">
        <f t="shared" si="24"/>
        <v>108.02040343331814</v>
      </c>
    </row>
    <row r="699" spans="1:5">
      <c r="A699" s="40" t="s">
        <v>40</v>
      </c>
      <c r="B699" s="41">
        <v>11414.16</v>
      </c>
      <c r="C699" s="41">
        <v>10671.12</v>
      </c>
      <c r="D699" s="42">
        <v>1636.92</v>
      </c>
      <c r="E699" s="39">
        <f t="shared" si="24"/>
        <v>93.490191131016218</v>
      </c>
    </row>
    <row r="700" spans="1:5">
      <c r="A700" s="40" t="s">
        <v>53</v>
      </c>
      <c r="B700" s="41">
        <v>-107489.42</v>
      </c>
      <c r="C700" s="41">
        <v>-109612.37</v>
      </c>
      <c r="D700" s="42">
        <v>17.45</v>
      </c>
      <c r="E700" s="39">
        <f t="shared" si="24"/>
        <v>101.97503158915546</v>
      </c>
    </row>
    <row r="701" spans="1:5">
      <c r="A701" s="40" t="s">
        <v>43</v>
      </c>
      <c r="B701" s="41">
        <v>42097.21</v>
      </c>
      <c r="C701" s="41">
        <v>41917.58</v>
      </c>
      <c r="D701" s="42">
        <v>6178.64</v>
      </c>
      <c r="E701" s="39">
        <f t="shared" si="24"/>
        <v>99.573297137743808</v>
      </c>
    </row>
    <row r="702" spans="1:5">
      <c r="A702" s="40" t="s">
        <v>50</v>
      </c>
      <c r="B702" s="41">
        <v>29822.66</v>
      </c>
      <c r="C702" s="41">
        <v>29170.79</v>
      </c>
      <c r="D702" s="42">
        <v>4761.96</v>
      </c>
      <c r="E702" s="39">
        <f t="shared" si="24"/>
        <v>97.814178882769014</v>
      </c>
    </row>
    <row r="703" spans="1:5">
      <c r="A703" s="40" t="s">
        <v>35</v>
      </c>
      <c r="B703" s="41">
        <v>722095.8</v>
      </c>
      <c r="C703" s="41">
        <v>697704.37</v>
      </c>
      <c r="D703" s="42">
        <v>104159.91</v>
      </c>
      <c r="E703" s="39">
        <f t="shared" si="24"/>
        <v>96.622133794435584</v>
      </c>
    </row>
    <row r="704" spans="1:5">
      <c r="A704" s="43" t="s">
        <v>45</v>
      </c>
      <c r="B704" s="44">
        <v>1685868.23</v>
      </c>
      <c r="C704" s="44">
        <v>1725582.26</v>
      </c>
      <c r="D704" s="45">
        <v>169902.99</v>
      </c>
      <c r="E704" s="46">
        <f t="shared" si="24"/>
        <v>102.35570190441278</v>
      </c>
    </row>
    <row r="705" spans="1:5">
      <c r="A705" s="54" t="s">
        <v>141</v>
      </c>
      <c r="B705" s="54"/>
      <c r="C705" s="54"/>
      <c r="D705" s="54"/>
      <c r="E705" s="39"/>
    </row>
    <row r="706" spans="1:5">
      <c r="A706" s="40" t="s">
        <v>44</v>
      </c>
      <c r="B706" s="41">
        <v>0</v>
      </c>
      <c r="C706" s="41">
        <v>-18846.02</v>
      </c>
      <c r="D706" s="42">
        <v>591.12</v>
      </c>
      <c r="E706" s="39"/>
    </row>
    <row r="707" spans="1:5">
      <c r="A707" s="40" t="s">
        <v>52</v>
      </c>
      <c r="B707" s="41">
        <v>-3098.07</v>
      </c>
      <c r="C707" s="41">
        <v>-5198.5</v>
      </c>
      <c r="D707" s="42">
        <v>84.22</v>
      </c>
      <c r="E707" s="39">
        <f>C707/B707*100</f>
        <v>167.79801618426956</v>
      </c>
    </row>
    <row r="708" spans="1:5">
      <c r="A708" s="40" t="s">
        <v>35</v>
      </c>
      <c r="B708" s="41">
        <v>0</v>
      </c>
      <c r="C708" s="41">
        <v>0</v>
      </c>
      <c r="D708" s="42">
        <v>0</v>
      </c>
      <c r="E708" s="39"/>
    </row>
    <row r="709" spans="1:5">
      <c r="A709" s="40" t="s">
        <v>34</v>
      </c>
      <c r="B709" s="41">
        <v>0</v>
      </c>
      <c r="C709" s="41">
        <v>22311.7</v>
      </c>
      <c r="D709" s="42">
        <v>14329.06</v>
      </c>
      <c r="E709" s="39"/>
    </row>
    <row r="710" spans="1:5">
      <c r="A710" s="40" t="s">
        <v>36</v>
      </c>
      <c r="B710" s="41">
        <v>130194</v>
      </c>
      <c r="C710" s="41">
        <v>132967.57</v>
      </c>
      <c r="D710" s="42">
        <v>24208.25</v>
      </c>
      <c r="E710" s="39">
        <f t="shared" ref="E710:E718" si="25">C710/B710*100</f>
        <v>102.13033626741633</v>
      </c>
    </row>
    <row r="711" spans="1:5">
      <c r="A711" s="40" t="s">
        <v>50</v>
      </c>
      <c r="B711" s="41">
        <v>23040.67</v>
      </c>
      <c r="C711" s="41">
        <v>23337.23</v>
      </c>
      <c r="D711" s="42">
        <v>4544.3599999999997</v>
      </c>
      <c r="E711" s="39">
        <f t="shared" si="25"/>
        <v>101.2871153486422</v>
      </c>
    </row>
    <row r="712" spans="1:5">
      <c r="A712" s="40" t="s">
        <v>43</v>
      </c>
      <c r="B712" s="41">
        <v>35745.32</v>
      </c>
      <c r="C712" s="41">
        <v>34656.82</v>
      </c>
      <c r="D712" s="42">
        <v>6224.03</v>
      </c>
      <c r="E712" s="39">
        <f t="shared" si="25"/>
        <v>96.954846116918247</v>
      </c>
    </row>
    <row r="713" spans="1:5">
      <c r="A713" s="40" t="s">
        <v>46</v>
      </c>
      <c r="B713" s="41">
        <v>417567.63</v>
      </c>
      <c r="C713" s="41">
        <v>405173.27</v>
      </c>
      <c r="D713" s="42">
        <v>95213.81</v>
      </c>
      <c r="E713" s="39">
        <f t="shared" si="25"/>
        <v>97.031771835379104</v>
      </c>
    </row>
    <row r="714" spans="1:5">
      <c r="A714" s="40" t="s">
        <v>33</v>
      </c>
      <c r="B714" s="41">
        <v>136533.98000000001</v>
      </c>
      <c r="C714" s="41">
        <v>138207.82</v>
      </c>
      <c r="D714" s="42">
        <v>25358.43</v>
      </c>
      <c r="E714" s="39">
        <f t="shared" si="25"/>
        <v>101.22595122474274</v>
      </c>
    </row>
    <row r="715" spans="1:5">
      <c r="A715" s="40" t="s">
        <v>42</v>
      </c>
      <c r="B715" s="41">
        <v>125207.16</v>
      </c>
      <c r="C715" s="41">
        <v>121263.66</v>
      </c>
      <c r="D715" s="42">
        <v>18435.59</v>
      </c>
      <c r="E715" s="39">
        <f t="shared" si="25"/>
        <v>96.850419736379294</v>
      </c>
    </row>
    <row r="716" spans="1:5">
      <c r="A716" s="40" t="s">
        <v>32</v>
      </c>
      <c r="B716" s="41">
        <v>109275.58</v>
      </c>
      <c r="C716" s="41">
        <v>110490.81</v>
      </c>
      <c r="D716" s="42">
        <v>20278.59</v>
      </c>
      <c r="E716" s="39">
        <f t="shared" si="25"/>
        <v>101.11207828867164</v>
      </c>
    </row>
    <row r="717" spans="1:5">
      <c r="A717" s="40" t="s">
        <v>38</v>
      </c>
      <c r="B717" s="41">
        <v>5675.73</v>
      </c>
      <c r="C717" s="41">
        <v>5512.03</v>
      </c>
      <c r="D717" s="42">
        <v>968.62</v>
      </c>
      <c r="E717" s="39">
        <f t="shared" si="25"/>
        <v>97.115789510776594</v>
      </c>
    </row>
    <row r="718" spans="1:5">
      <c r="A718" s="40" t="s">
        <v>47</v>
      </c>
      <c r="B718" s="41">
        <v>10971.4</v>
      </c>
      <c r="C718" s="41">
        <v>300.81</v>
      </c>
      <c r="D718" s="42">
        <v>2541.6</v>
      </c>
      <c r="E718" s="39">
        <f t="shared" si="25"/>
        <v>2.7417649525128973</v>
      </c>
    </row>
    <row r="719" spans="1:5">
      <c r="A719" s="40" t="s">
        <v>39</v>
      </c>
      <c r="B719" s="41">
        <v>0</v>
      </c>
      <c r="C719" s="41">
        <v>1458.49</v>
      </c>
      <c r="D719" s="42">
        <v>-4279.18</v>
      </c>
      <c r="E719" s="39"/>
    </row>
    <row r="720" spans="1:5">
      <c r="A720" s="40" t="s">
        <v>51</v>
      </c>
      <c r="B720" s="41">
        <v>245478.91</v>
      </c>
      <c r="C720" s="41">
        <v>251023.94</v>
      </c>
      <c r="D720" s="42">
        <v>41414</v>
      </c>
      <c r="E720" s="39">
        <f t="shared" ref="E720:E725" si="26">C720/B720*100</f>
        <v>102.25886207495381</v>
      </c>
    </row>
    <row r="721" spans="1:5">
      <c r="A721" s="40" t="s">
        <v>37</v>
      </c>
      <c r="B721" s="41">
        <v>38422.629999999997</v>
      </c>
      <c r="C721" s="41">
        <v>43393.47</v>
      </c>
      <c r="D721" s="42">
        <v>2523.14</v>
      </c>
      <c r="E721" s="39">
        <f t="shared" si="26"/>
        <v>112.93727160269873</v>
      </c>
    </row>
    <row r="722" spans="1:5">
      <c r="A722" s="40" t="s">
        <v>41</v>
      </c>
      <c r="B722" s="41">
        <v>59303.6</v>
      </c>
      <c r="C722" s="41">
        <v>60388.95</v>
      </c>
      <c r="D722" s="42">
        <v>11586.8</v>
      </c>
      <c r="E722" s="39">
        <f t="shared" si="26"/>
        <v>101.83015870874618</v>
      </c>
    </row>
    <row r="723" spans="1:5">
      <c r="A723" s="40" t="s">
        <v>53</v>
      </c>
      <c r="B723" s="41">
        <v>10815.94</v>
      </c>
      <c r="C723" s="41">
        <v>-2495.89</v>
      </c>
      <c r="D723" s="42">
        <v>4380.2</v>
      </c>
      <c r="E723" s="39">
        <f t="shared" si="26"/>
        <v>-23.076034075632816</v>
      </c>
    </row>
    <row r="724" spans="1:5">
      <c r="A724" s="40" t="s">
        <v>40</v>
      </c>
      <c r="B724" s="41">
        <v>6334.56</v>
      </c>
      <c r="C724" s="41">
        <v>5584.39</v>
      </c>
      <c r="D724" s="42">
        <v>4661.47</v>
      </c>
      <c r="E724" s="39">
        <f t="shared" si="26"/>
        <v>88.157504230759514</v>
      </c>
    </row>
    <row r="725" spans="1:5">
      <c r="A725" s="43" t="s">
        <v>45</v>
      </c>
      <c r="B725" s="44">
        <v>1351469.04</v>
      </c>
      <c r="C725" s="44">
        <v>1329530.55</v>
      </c>
      <c r="D725" s="45">
        <v>273064.11</v>
      </c>
      <c r="E725" s="46">
        <f t="shared" si="26"/>
        <v>98.376693113147454</v>
      </c>
    </row>
    <row r="726" spans="1:5">
      <c r="A726" s="36" t="s">
        <v>28</v>
      </c>
      <c r="B726" s="36" t="s">
        <v>29</v>
      </c>
      <c r="C726" s="36" t="s">
        <v>30</v>
      </c>
      <c r="D726" s="37" t="s">
        <v>31</v>
      </c>
      <c r="E726" s="39"/>
    </row>
    <row r="727" spans="1:5">
      <c r="A727" s="54" t="s">
        <v>142</v>
      </c>
      <c r="B727" s="54"/>
      <c r="C727" s="54"/>
      <c r="D727" s="54"/>
      <c r="E727" s="39"/>
    </row>
    <row r="728" spans="1:5">
      <c r="A728" s="40" t="s">
        <v>35</v>
      </c>
      <c r="B728" s="41">
        <v>700632.54</v>
      </c>
      <c r="C728" s="41">
        <v>600356.03</v>
      </c>
      <c r="D728" s="42">
        <v>238001</v>
      </c>
      <c r="E728" s="39">
        <f t="shared" ref="E728:E734" si="27">C728/B728*100</f>
        <v>85.687717273308479</v>
      </c>
    </row>
    <row r="729" spans="1:5">
      <c r="A729" s="40" t="s">
        <v>33</v>
      </c>
      <c r="B729" s="41">
        <v>132626.34</v>
      </c>
      <c r="C729" s="41">
        <v>130132.44</v>
      </c>
      <c r="D729" s="42">
        <v>42040.46</v>
      </c>
      <c r="E729" s="39">
        <f t="shared" si="27"/>
        <v>98.119604295798254</v>
      </c>
    </row>
    <row r="730" spans="1:5">
      <c r="A730" s="40" t="s">
        <v>40</v>
      </c>
      <c r="B730" s="41">
        <v>47066.81</v>
      </c>
      <c r="C730" s="41">
        <v>37271.019999999997</v>
      </c>
      <c r="D730" s="42">
        <v>21419.29</v>
      </c>
      <c r="E730" s="39">
        <f t="shared" si="27"/>
        <v>79.187478395072873</v>
      </c>
    </row>
    <row r="731" spans="1:5">
      <c r="A731" s="40" t="s">
        <v>39</v>
      </c>
      <c r="B731" s="41">
        <v>53188.79</v>
      </c>
      <c r="C731" s="41">
        <v>52189.599999999999</v>
      </c>
      <c r="D731" s="42">
        <v>16805.330000000002</v>
      </c>
      <c r="E731" s="39">
        <f t="shared" si="27"/>
        <v>98.121427466201055</v>
      </c>
    </row>
    <row r="732" spans="1:5">
      <c r="A732" s="40" t="s">
        <v>32</v>
      </c>
      <c r="B732" s="41">
        <v>106147.39</v>
      </c>
      <c r="C732" s="41">
        <v>103960.47</v>
      </c>
      <c r="D732" s="42">
        <v>33539.589999999997</v>
      </c>
      <c r="E732" s="39">
        <f t="shared" si="27"/>
        <v>97.939732667944085</v>
      </c>
    </row>
    <row r="733" spans="1:5">
      <c r="A733" s="40" t="s">
        <v>51</v>
      </c>
      <c r="B733" s="41">
        <v>285743.52</v>
      </c>
      <c r="C733" s="41">
        <v>292073.36</v>
      </c>
      <c r="D733" s="42">
        <v>81560.289999999994</v>
      </c>
      <c r="E733" s="39">
        <f t="shared" si="27"/>
        <v>102.21521733896186</v>
      </c>
    </row>
    <row r="734" spans="1:5">
      <c r="A734" s="40" t="s">
        <v>43</v>
      </c>
      <c r="B734" s="41">
        <v>49778.239999999998</v>
      </c>
      <c r="C734" s="41">
        <v>43038.17</v>
      </c>
      <c r="D734" s="42">
        <v>16382.6</v>
      </c>
      <c r="E734" s="39">
        <f t="shared" si="27"/>
        <v>86.459806533939329</v>
      </c>
    </row>
    <row r="735" spans="1:5">
      <c r="A735" s="40" t="s">
        <v>34</v>
      </c>
      <c r="B735" s="41">
        <v>0</v>
      </c>
      <c r="C735" s="41">
        <v>67033.95</v>
      </c>
      <c r="D735" s="42">
        <v>576434.89</v>
      </c>
      <c r="E735" s="39"/>
    </row>
    <row r="736" spans="1:5">
      <c r="A736" s="40" t="s">
        <v>44</v>
      </c>
      <c r="B736" s="41">
        <v>0</v>
      </c>
      <c r="C736" s="41">
        <v>-46549.97</v>
      </c>
      <c r="D736" s="42">
        <v>6968.62</v>
      </c>
      <c r="E736" s="39"/>
    </row>
    <row r="737" spans="1:5">
      <c r="A737" s="40" t="s">
        <v>36</v>
      </c>
      <c r="B737" s="41">
        <v>126468.12</v>
      </c>
      <c r="C737" s="41">
        <v>124374.33</v>
      </c>
      <c r="D737" s="42">
        <v>40188.699999999997</v>
      </c>
      <c r="E737" s="39">
        <f t="shared" ref="E737:E747" si="28">C737/B737*100</f>
        <v>98.34441280537736</v>
      </c>
    </row>
    <row r="738" spans="1:5">
      <c r="A738" s="40" t="s">
        <v>41</v>
      </c>
      <c r="B738" s="41">
        <v>87699.51</v>
      </c>
      <c r="C738" s="41">
        <v>76989.39</v>
      </c>
      <c r="D738" s="42">
        <v>36848.14</v>
      </c>
      <c r="E738" s="39">
        <f t="shared" si="28"/>
        <v>87.787708277959595</v>
      </c>
    </row>
    <row r="739" spans="1:5">
      <c r="A739" s="40" t="s">
        <v>135</v>
      </c>
      <c r="B739" s="41">
        <v>45902.16</v>
      </c>
      <c r="C739" s="41">
        <v>34931.75</v>
      </c>
      <c r="D739" s="42">
        <v>13927.26</v>
      </c>
      <c r="E739" s="39">
        <f t="shared" si="28"/>
        <v>76.100449303475031</v>
      </c>
    </row>
    <row r="740" spans="1:5">
      <c r="A740" s="40" t="s">
        <v>38</v>
      </c>
      <c r="B740" s="41">
        <v>7907.02</v>
      </c>
      <c r="C740" s="41">
        <v>6778.12</v>
      </c>
      <c r="D740" s="42">
        <v>2320.5100000000002</v>
      </c>
      <c r="E740" s="39">
        <f t="shared" si="28"/>
        <v>85.7228133987267</v>
      </c>
    </row>
    <row r="741" spans="1:5">
      <c r="A741" s="40" t="s">
        <v>53</v>
      </c>
      <c r="B741" s="41">
        <v>-26821.32</v>
      </c>
      <c r="C741" s="41">
        <v>-49250.78</v>
      </c>
      <c r="D741" s="42">
        <v>0</v>
      </c>
      <c r="E741" s="39">
        <f t="shared" si="28"/>
        <v>183.62548897667975</v>
      </c>
    </row>
    <row r="742" spans="1:5">
      <c r="A742" s="40" t="s">
        <v>50</v>
      </c>
      <c r="B742" s="41">
        <v>36756.46</v>
      </c>
      <c r="C742" s="41">
        <v>30203.56</v>
      </c>
      <c r="D742" s="42">
        <v>17577.89</v>
      </c>
      <c r="E742" s="39">
        <f t="shared" si="28"/>
        <v>82.172113418974519</v>
      </c>
    </row>
    <row r="743" spans="1:5">
      <c r="A743" s="40" t="s">
        <v>47</v>
      </c>
      <c r="B743" s="41">
        <v>14983</v>
      </c>
      <c r="C743" s="41">
        <v>537.25</v>
      </c>
      <c r="D743" s="42">
        <v>2565.8000000000002</v>
      </c>
      <c r="E743" s="39">
        <f t="shared" si="28"/>
        <v>3.5857304945605017</v>
      </c>
    </row>
    <row r="744" spans="1:5">
      <c r="A744" s="40" t="s">
        <v>52</v>
      </c>
      <c r="B744" s="41">
        <v>-1464.66</v>
      </c>
      <c r="C744" s="41">
        <v>-1305.1300000000001</v>
      </c>
      <c r="D744" s="42">
        <v>-21.75</v>
      </c>
      <c r="E744" s="39">
        <f t="shared" si="28"/>
        <v>89.108052380757314</v>
      </c>
    </row>
    <row r="745" spans="1:5">
      <c r="A745" s="40" t="s">
        <v>37</v>
      </c>
      <c r="B745" s="41">
        <v>54170.13</v>
      </c>
      <c r="C745" s="41">
        <v>47922.33</v>
      </c>
      <c r="D745" s="42">
        <v>21325.5</v>
      </c>
      <c r="E745" s="39">
        <f t="shared" si="28"/>
        <v>88.466337444639692</v>
      </c>
    </row>
    <row r="746" spans="1:5">
      <c r="A746" s="40" t="s">
        <v>42</v>
      </c>
      <c r="B746" s="41">
        <v>80710.03</v>
      </c>
      <c r="C746" s="41">
        <v>71983.199999999997</v>
      </c>
      <c r="D746" s="42">
        <v>20965.32</v>
      </c>
      <c r="E746" s="39">
        <f t="shared" si="28"/>
        <v>89.187428130060169</v>
      </c>
    </row>
    <row r="747" spans="1:5">
      <c r="A747" s="43" t="s">
        <v>45</v>
      </c>
      <c r="B747" s="44">
        <v>1801494.08</v>
      </c>
      <c r="C747" s="44">
        <v>1622669.09</v>
      </c>
      <c r="D747" s="45">
        <v>1188849.44</v>
      </c>
      <c r="E747" s="46">
        <f t="shared" si="28"/>
        <v>90.07351775477386</v>
      </c>
    </row>
    <row r="748" spans="1:5">
      <c r="A748" s="54" t="s">
        <v>143</v>
      </c>
      <c r="B748" s="54"/>
      <c r="C748" s="54"/>
      <c r="D748" s="54"/>
      <c r="E748" s="39"/>
    </row>
    <row r="749" spans="1:5">
      <c r="A749" s="40" t="s">
        <v>39</v>
      </c>
      <c r="B749" s="41">
        <v>52488.3</v>
      </c>
      <c r="C749" s="41">
        <v>53705.5</v>
      </c>
      <c r="D749" s="42">
        <v>12933.27</v>
      </c>
      <c r="E749" s="39">
        <f>C749/B749*100</f>
        <v>102.31899299462927</v>
      </c>
    </row>
    <row r="750" spans="1:5">
      <c r="A750" s="40" t="s">
        <v>41</v>
      </c>
      <c r="B750" s="41">
        <v>92047.53</v>
      </c>
      <c r="C750" s="41">
        <v>74798.78</v>
      </c>
      <c r="D750" s="42">
        <v>53650.35</v>
      </c>
      <c r="E750" s="39">
        <f>C750/B750*100</f>
        <v>81.261039812801059</v>
      </c>
    </row>
    <row r="751" spans="1:5">
      <c r="A751" s="40" t="s">
        <v>44</v>
      </c>
      <c r="B751" s="41">
        <v>0</v>
      </c>
      <c r="C751" s="41">
        <v>-41422.300000000003</v>
      </c>
      <c r="D751" s="42">
        <v>3417.76</v>
      </c>
      <c r="E751" s="39"/>
    </row>
    <row r="752" spans="1:5">
      <c r="A752" s="40" t="s">
        <v>51</v>
      </c>
      <c r="B752" s="41">
        <v>299898.7</v>
      </c>
      <c r="C752" s="41">
        <v>245287.88</v>
      </c>
      <c r="D752" s="42">
        <v>158721.03</v>
      </c>
      <c r="E752" s="39">
        <f>C752/B752*100</f>
        <v>81.790244505894833</v>
      </c>
    </row>
    <row r="753" spans="1:5">
      <c r="A753" s="40" t="s">
        <v>32</v>
      </c>
      <c r="B753" s="41">
        <v>104749.13</v>
      </c>
      <c r="C753" s="41">
        <v>106972.82</v>
      </c>
      <c r="D753" s="42">
        <v>25880.55</v>
      </c>
      <c r="E753" s="39">
        <f>C753/B753*100</f>
        <v>102.12287204676545</v>
      </c>
    </row>
    <row r="754" spans="1:5">
      <c r="A754" s="40" t="s">
        <v>34</v>
      </c>
      <c r="B754" s="41">
        <v>0</v>
      </c>
      <c r="C754" s="41">
        <v>44439.55</v>
      </c>
      <c r="D754" s="42">
        <v>625611.62</v>
      </c>
      <c r="E754" s="39"/>
    </row>
    <row r="755" spans="1:5">
      <c r="A755" s="40" t="s">
        <v>52</v>
      </c>
      <c r="B755" s="41">
        <v>-15399.73</v>
      </c>
      <c r="C755" s="41">
        <v>-15707.65</v>
      </c>
      <c r="D755" s="42">
        <v>-324.73</v>
      </c>
      <c r="E755" s="39">
        <f t="shared" ref="E755:E767" si="29">C755/B755*100</f>
        <v>101.99951557592244</v>
      </c>
    </row>
    <row r="756" spans="1:5">
      <c r="A756" s="40" t="s">
        <v>50</v>
      </c>
      <c r="B756" s="41">
        <v>35910.230000000003</v>
      </c>
      <c r="C756" s="41">
        <v>25355.3</v>
      </c>
      <c r="D756" s="42">
        <v>24469.81</v>
      </c>
      <c r="E756" s="39">
        <f t="shared" si="29"/>
        <v>70.607456426761956</v>
      </c>
    </row>
    <row r="757" spans="1:5">
      <c r="A757" s="40" t="s">
        <v>42</v>
      </c>
      <c r="B757" s="41">
        <v>103653.72</v>
      </c>
      <c r="C757" s="41">
        <v>100157.72</v>
      </c>
      <c r="D757" s="42">
        <v>16941.37</v>
      </c>
      <c r="E757" s="39">
        <f t="shared" si="29"/>
        <v>96.627231516630559</v>
      </c>
    </row>
    <row r="758" spans="1:5">
      <c r="A758" s="40" t="s">
        <v>47</v>
      </c>
      <c r="B758" s="41">
        <v>13483.2</v>
      </c>
      <c r="C758" s="41">
        <v>1410</v>
      </c>
      <c r="D758" s="42">
        <v>2451.6</v>
      </c>
      <c r="E758" s="39">
        <f t="shared" si="29"/>
        <v>10.457458170167319</v>
      </c>
    </row>
    <row r="759" spans="1:5">
      <c r="A759" s="40" t="s">
        <v>37</v>
      </c>
      <c r="B759" s="41">
        <v>59454.59</v>
      </c>
      <c r="C759" s="41">
        <v>62406.83</v>
      </c>
      <c r="D759" s="42">
        <v>21171.96</v>
      </c>
      <c r="E759" s="39">
        <f t="shared" si="29"/>
        <v>104.96553756404678</v>
      </c>
    </row>
    <row r="760" spans="1:5">
      <c r="A760" s="40" t="s">
        <v>40</v>
      </c>
      <c r="B760" s="41">
        <v>22439.88</v>
      </c>
      <c r="C760" s="41">
        <v>15525.73</v>
      </c>
      <c r="D760" s="42">
        <v>15157.07</v>
      </c>
      <c r="E760" s="39">
        <f t="shared" si="29"/>
        <v>69.188115087959474</v>
      </c>
    </row>
    <row r="761" spans="1:5">
      <c r="A761" s="40" t="s">
        <v>38</v>
      </c>
      <c r="B761" s="41">
        <v>7810.72</v>
      </c>
      <c r="C761" s="41">
        <v>6662.43</v>
      </c>
      <c r="D761" s="42">
        <v>3086.66</v>
      </c>
      <c r="E761" s="39">
        <f t="shared" si="29"/>
        <v>85.298538418993388</v>
      </c>
    </row>
    <row r="762" spans="1:5">
      <c r="A762" s="40" t="s">
        <v>43</v>
      </c>
      <c r="B762" s="41">
        <v>49178.98</v>
      </c>
      <c r="C762" s="41">
        <v>41910.800000000003</v>
      </c>
      <c r="D762" s="42">
        <v>19718.73</v>
      </c>
      <c r="E762" s="39">
        <f t="shared" si="29"/>
        <v>85.220962289173144</v>
      </c>
    </row>
    <row r="763" spans="1:5">
      <c r="A763" s="40" t="s">
        <v>46</v>
      </c>
      <c r="B763" s="41">
        <v>473257.47</v>
      </c>
      <c r="C763" s="41">
        <v>429410.46</v>
      </c>
      <c r="D763" s="42">
        <v>148563.07</v>
      </c>
      <c r="E763" s="39">
        <f t="shared" si="29"/>
        <v>90.735062248462768</v>
      </c>
    </row>
    <row r="764" spans="1:5">
      <c r="A764" s="40" t="s">
        <v>53</v>
      </c>
      <c r="B764" s="41">
        <v>-28099.68</v>
      </c>
      <c r="C764" s="41">
        <v>-33684.769999999997</v>
      </c>
      <c r="D764" s="42">
        <v>0</v>
      </c>
      <c r="E764" s="39">
        <f t="shared" si="29"/>
        <v>119.87599147036549</v>
      </c>
    </row>
    <row r="765" spans="1:5">
      <c r="A765" s="40" t="s">
        <v>33</v>
      </c>
      <c r="B765" s="41">
        <v>130878.72</v>
      </c>
      <c r="C765" s="41">
        <v>133852.76</v>
      </c>
      <c r="D765" s="42">
        <v>32434.53</v>
      </c>
      <c r="E765" s="39">
        <f t="shared" si="29"/>
        <v>102.27236329939657</v>
      </c>
    </row>
    <row r="766" spans="1:5">
      <c r="A766" s="40" t="s">
        <v>36</v>
      </c>
      <c r="B766" s="41">
        <v>124802.35</v>
      </c>
      <c r="C766" s="41">
        <v>127841.58</v>
      </c>
      <c r="D766" s="42">
        <v>30985.03</v>
      </c>
      <c r="E766" s="39">
        <f t="shared" si="29"/>
        <v>102.43523459293836</v>
      </c>
    </row>
    <row r="767" spans="1:5">
      <c r="A767" s="43" t="s">
        <v>45</v>
      </c>
      <c r="B767" s="44">
        <v>1526554.11</v>
      </c>
      <c r="C767" s="44">
        <v>1378923.42</v>
      </c>
      <c r="D767" s="45">
        <v>1194869.68</v>
      </c>
      <c r="E767" s="46">
        <f t="shared" si="29"/>
        <v>90.329154464102146</v>
      </c>
    </row>
    <row r="768" spans="1:5">
      <c r="A768" s="54" t="s">
        <v>144</v>
      </c>
      <c r="B768" s="54"/>
      <c r="C768" s="54"/>
      <c r="D768" s="54"/>
      <c r="E768" s="39"/>
    </row>
    <row r="769" spans="1:5">
      <c r="A769" s="40" t="s">
        <v>40</v>
      </c>
      <c r="B769" s="41">
        <v>57050.879999999997</v>
      </c>
      <c r="C769" s="41">
        <v>51439.839999999997</v>
      </c>
      <c r="D769" s="42">
        <v>16688.38</v>
      </c>
      <c r="E769" s="39">
        <f>C769/B769*100</f>
        <v>90.164849341500073</v>
      </c>
    </row>
    <row r="770" spans="1:5">
      <c r="A770" s="40" t="s">
        <v>39</v>
      </c>
      <c r="B770" s="41">
        <v>53972.76</v>
      </c>
      <c r="C770" s="41">
        <v>54864.3</v>
      </c>
      <c r="D770" s="42">
        <v>15272.89</v>
      </c>
      <c r="E770" s="39">
        <f>C770/B770*100</f>
        <v>101.6518332581102</v>
      </c>
    </row>
    <row r="771" spans="1:5">
      <c r="A771" s="40" t="s">
        <v>52</v>
      </c>
      <c r="B771" s="41">
        <v>-15595.25</v>
      </c>
      <c r="C771" s="41">
        <v>-17900.099999999999</v>
      </c>
      <c r="D771" s="42">
        <v>-440.51</v>
      </c>
      <c r="E771" s="39">
        <f>C771/B771*100</f>
        <v>114.77917955787819</v>
      </c>
    </row>
    <row r="772" spans="1:5">
      <c r="A772" s="40" t="s">
        <v>35</v>
      </c>
      <c r="B772" s="41">
        <v>0</v>
      </c>
      <c r="C772" s="41">
        <v>0</v>
      </c>
      <c r="D772" s="42">
        <v>0</v>
      </c>
      <c r="E772" s="39"/>
    </row>
    <row r="773" spans="1:5">
      <c r="A773" s="40" t="s">
        <v>50</v>
      </c>
      <c r="B773" s="41">
        <v>31318.95</v>
      </c>
      <c r="C773" s="41">
        <v>27761.87</v>
      </c>
      <c r="D773" s="42">
        <v>10254.450000000001</v>
      </c>
      <c r="E773" s="39">
        <f t="shared" ref="E773:E778" si="30">C773/B773*100</f>
        <v>88.642403401135724</v>
      </c>
    </row>
    <row r="774" spans="1:5">
      <c r="A774" s="40" t="s">
        <v>36</v>
      </c>
      <c r="B774" s="41">
        <v>128331.36</v>
      </c>
      <c r="C774" s="41">
        <v>131340.95000000001</v>
      </c>
      <c r="D774" s="42">
        <v>36510.25</v>
      </c>
      <c r="E774" s="39">
        <f t="shared" si="30"/>
        <v>102.34517112574824</v>
      </c>
    </row>
    <row r="775" spans="1:5">
      <c r="A775" s="40" t="s">
        <v>47</v>
      </c>
      <c r="B775" s="41">
        <v>14408.4</v>
      </c>
      <c r="C775" s="41">
        <v>0</v>
      </c>
      <c r="D775" s="42">
        <v>2603.6</v>
      </c>
      <c r="E775" s="39">
        <f t="shared" si="30"/>
        <v>0</v>
      </c>
    </row>
    <row r="776" spans="1:5">
      <c r="A776" s="40" t="s">
        <v>33</v>
      </c>
      <c r="B776" s="41">
        <v>134579.76</v>
      </c>
      <c r="C776" s="41">
        <v>136937.14000000001</v>
      </c>
      <c r="D776" s="42">
        <v>38212.33</v>
      </c>
      <c r="E776" s="39">
        <f t="shared" si="30"/>
        <v>101.75166013076557</v>
      </c>
    </row>
    <row r="777" spans="1:5">
      <c r="A777" s="40" t="s">
        <v>43</v>
      </c>
      <c r="B777" s="41">
        <v>44615.56</v>
      </c>
      <c r="C777" s="41">
        <v>41006.29</v>
      </c>
      <c r="D777" s="42">
        <v>9963.09</v>
      </c>
      <c r="E777" s="39">
        <f t="shared" si="30"/>
        <v>91.910288697485825</v>
      </c>
    </row>
    <row r="778" spans="1:5">
      <c r="A778" s="40" t="s">
        <v>46</v>
      </c>
      <c r="B778" s="41">
        <v>454632.46</v>
      </c>
      <c r="C778" s="41">
        <v>419759.54</v>
      </c>
      <c r="D778" s="42">
        <v>158177.99</v>
      </c>
      <c r="E778" s="39">
        <f t="shared" si="30"/>
        <v>92.329425839941109</v>
      </c>
    </row>
    <row r="779" spans="1:5">
      <c r="A779" s="40" t="s">
        <v>44</v>
      </c>
      <c r="B779" s="41">
        <v>0</v>
      </c>
      <c r="C779" s="41">
        <v>-43425.22</v>
      </c>
      <c r="D779" s="42">
        <v>5164.76</v>
      </c>
      <c r="E779" s="39"/>
    </row>
    <row r="780" spans="1:5">
      <c r="A780" s="40" t="s">
        <v>32</v>
      </c>
      <c r="B780" s="41">
        <v>107711.28</v>
      </c>
      <c r="C780" s="41">
        <v>109370.9</v>
      </c>
      <c r="D780" s="42">
        <v>30503.56</v>
      </c>
      <c r="E780" s="39">
        <f>C780/B780*100</f>
        <v>101.54080426859655</v>
      </c>
    </row>
    <row r="781" spans="1:5">
      <c r="A781" s="40" t="s">
        <v>41</v>
      </c>
      <c r="B781" s="41">
        <v>78232.19</v>
      </c>
      <c r="C781" s="41">
        <v>71628.97</v>
      </c>
      <c r="D781" s="42">
        <v>21400.86</v>
      </c>
      <c r="E781" s="39">
        <f>C781/B781*100</f>
        <v>91.559459092222781</v>
      </c>
    </row>
    <row r="782" spans="1:5">
      <c r="A782" s="40" t="s">
        <v>38</v>
      </c>
      <c r="B782" s="41">
        <v>7084.25</v>
      </c>
      <c r="C782" s="41">
        <v>6528.94</v>
      </c>
      <c r="D782" s="42">
        <v>1558.07</v>
      </c>
      <c r="E782" s="39">
        <f>C782/B782*100</f>
        <v>92.161343826093088</v>
      </c>
    </row>
    <row r="783" spans="1:5">
      <c r="A783" s="40" t="s">
        <v>51</v>
      </c>
      <c r="B783" s="41">
        <v>278560.55</v>
      </c>
      <c r="C783" s="41">
        <v>358334.42</v>
      </c>
      <c r="D783" s="42">
        <v>-16717.28</v>
      </c>
      <c r="E783" s="39">
        <f>C783/B783*100</f>
        <v>128.63789219255921</v>
      </c>
    </row>
    <row r="784" spans="1:5">
      <c r="A784" s="40" t="s">
        <v>53</v>
      </c>
      <c r="B784" s="41">
        <v>-76432.05</v>
      </c>
      <c r="C784" s="41">
        <v>-126741.98</v>
      </c>
      <c r="D784" s="42">
        <v>0</v>
      </c>
      <c r="E784" s="39">
        <f>C784/B784*100</f>
        <v>165.82308076258585</v>
      </c>
    </row>
    <row r="785" spans="1:5">
      <c r="A785" s="40" t="s">
        <v>34</v>
      </c>
      <c r="B785" s="41">
        <v>0</v>
      </c>
      <c r="C785" s="41">
        <v>22700.15</v>
      </c>
      <c r="D785" s="42">
        <v>115826.97</v>
      </c>
      <c r="E785" s="39"/>
    </row>
    <row r="786" spans="1:5">
      <c r="A786" s="40" t="s">
        <v>42</v>
      </c>
      <c r="B786" s="41">
        <v>72608.399999999994</v>
      </c>
      <c r="C786" s="41">
        <v>65446.36</v>
      </c>
      <c r="D786" s="42">
        <v>21846</v>
      </c>
      <c r="E786" s="39">
        <f>C786/B786*100</f>
        <v>90.136072410354728</v>
      </c>
    </row>
    <row r="787" spans="1:5">
      <c r="A787" s="40" t="s">
        <v>37</v>
      </c>
      <c r="B787" s="41">
        <v>49770.7</v>
      </c>
      <c r="C787" s="41">
        <v>61186.79</v>
      </c>
      <c r="D787" s="42">
        <v>-2361.19</v>
      </c>
      <c r="E787" s="39">
        <f>C787/B787*100</f>
        <v>122.93737078240814</v>
      </c>
    </row>
    <row r="788" spans="1:5">
      <c r="A788" s="43" t="s">
        <v>45</v>
      </c>
      <c r="B788" s="44">
        <v>1420850.2</v>
      </c>
      <c r="C788" s="44">
        <v>1370239.16</v>
      </c>
      <c r="D788" s="45">
        <v>464464.22</v>
      </c>
      <c r="E788" s="46">
        <f>C788/B788*100</f>
        <v>96.437974953306124</v>
      </c>
    </row>
    <row r="789" spans="1:5">
      <c r="A789" s="54" t="s">
        <v>145</v>
      </c>
      <c r="B789" s="54"/>
      <c r="C789" s="54"/>
      <c r="D789" s="54"/>
      <c r="E789" s="39"/>
    </row>
    <row r="790" spans="1:5">
      <c r="A790" s="40" t="s">
        <v>32</v>
      </c>
      <c r="B790" s="41">
        <v>90294.25</v>
      </c>
      <c r="C790" s="41">
        <v>101383.83</v>
      </c>
      <c r="D790" s="42">
        <v>11944.66</v>
      </c>
      <c r="E790" s="39">
        <f>C790/B790*100</f>
        <v>112.2816015416264</v>
      </c>
    </row>
    <row r="791" spans="1:5">
      <c r="A791" s="40" t="s">
        <v>135</v>
      </c>
      <c r="B791" s="41">
        <v>41382.120000000003</v>
      </c>
      <c r="C791" s="41">
        <v>37719.17</v>
      </c>
      <c r="D791" s="42">
        <v>5277.12</v>
      </c>
      <c r="E791" s="39">
        <f>C791/B791*100</f>
        <v>91.148471852094573</v>
      </c>
    </row>
    <row r="792" spans="1:5">
      <c r="A792" s="40" t="s">
        <v>53</v>
      </c>
      <c r="B792" s="41">
        <v>-4026.38</v>
      </c>
      <c r="C792" s="41">
        <v>-14909.55</v>
      </c>
      <c r="D792" s="42">
        <v>223.06</v>
      </c>
      <c r="E792" s="39">
        <f>C792/B792*100</f>
        <v>370.29664363522568</v>
      </c>
    </row>
    <row r="793" spans="1:5">
      <c r="A793" s="40" t="s">
        <v>35</v>
      </c>
      <c r="B793" s="41">
        <v>595994.1</v>
      </c>
      <c r="C793" s="41">
        <v>585395.74</v>
      </c>
      <c r="D793" s="42">
        <v>78392.27</v>
      </c>
      <c r="E793" s="39">
        <f>C793/B793*100</f>
        <v>98.221734074213146</v>
      </c>
    </row>
    <row r="794" spans="1:5">
      <c r="A794" s="40" t="s">
        <v>40</v>
      </c>
      <c r="B794" s="41">
        <v>15169.08</v>
      </c>
      <c r="C794" s="41">
        <v>14743.47</v>
      </c>
      <c r="D794" s="42">
        <v>53.46</v>
      </c>
      <c r="E794" s="39">
        <f t="shared" ref="E794:E799" si="31">C794/B794*100</f>
        <v>97.194226676897998</v>
      </c>
    </row>
    <row r="795" spans="1:5">
      <c r="A795" s="40" t="s">
        <v>42</v>
      </c>
      <c r="B795" s="41">
        <v>93524.4</v>
      </c>
      <c r="C795" s="41">
        <v>91044.13</v>
      </c>
      <c r="D795" s="42">
        <v>12505.34</v>
      </c>
      <c r="E795" s="39">
        <f t="shared" si="31"/>
        <v>97.347996886374048</v>
      </c>
    </row>
    <row r="796" spans="1:5">
      <c r="A796" s="40" t="s">
        <v>52</v>
      </c>
      <c r="B796" s="41">
        <v>-13819.13</v>
      </c>
      <c r="C796" s="41">
        <v>-15852.64</v>
      </c>
      <c r="D796" s="42">
        <v>0</v>
      </c>
      <c r="E796" s="39">
        <f t="shared" si="31"/>
        <v>114.71518105698406</v>
      </c>
    </row>
    <row r="797" spans="1:5">
      <c r="A797" s="40" t="s">
        <v>37</v>
      </c>
      <c r="B797" s="41">
        <v>50705.8</v>
      </c>
      <c r="C797" s="41">
        <v>61093.27</v>
      </c>
      <c r="D797" s="42">
        <v>-6048.09</v>
      </c>
      <c r="E797" s="39">
        <f t="shared" si="31"/>
        <v>120.48576296991665</v>
      </c>
    </row>
    <row r="798" spans="1:5">
      <c r="A798" s="40" t="s">
        <v>43</v>
      </c>
      <c r="B798" s="41">
        <v>42608.85</v>
      </c>
      <c r="C798" s="41">
        <v>41265.519999999997</v>
      </c>
      <c r="D798" s="42">
        <v>5823.72</v>
      </c>
      <c r="E798" s="39">
        <f t="shared" si="31"/>
        <v>96.847298155195446</v>
      </c>
    </row>
    <row r="799" spans="1:5">
      <c r="A799" s="40" t="s">
        <v>39</v>
      </c>
      <c r="B799" s="41">
        <v>45245.15</v>
      </c>
      <c r="C799" s="41">
        <v>50920.9</v>
      </c>
      <c r="D799" s="42">
        <v>5961.19</v>
      </c>
      <c r="E799" s="39">
        <f t="shared" si="31"/>
        <v>112.54443846467521</v>
      </c>
    </row>
    <row r="800" spans="1:5">
      <c r="A800" s="40" t="s">
        <v>34</v>
      </c>
      <c r="B800" s="41">
        <v>0</v>
      </c>
      <c r="C800" s="41">
        <v>4988.84</v>
      </c>
      <c r="D800" s="42">
        <v>1952.47</v>
      </c>
      <c r="E800" s="39"/>
    </row>
    <row r="801" spans="1:5">
      <c r="A801" s="40" t="s">
        <v>33</v>
      </c>
      <c r="B801" s="41">
        <v>112818.66</v>
      </c>
      <c r="C801" s="41">
        <v>126880.48</v>
      </c>
      <c r="D801" s="42">
        <v>14933.88</v>
      </c>
      <c r="E801" s="39">
        <f>C801/B801*100</f>
        <v>112.4640906034516</v>
      </c>
    </row>
    <row r="802" spans="1:5">
      <c r="A802" s="40" t="s">
        <v>38</v>
      </c>
      <c r="B802" s="41">
        <v>6767.37</v>
      </c>
      <c r="C802" s="41">
        <v>6571.03</v>
      </c>
      <c r="D802" s="42">
        <v>914.94</v>
      </c>
      <c r="E802" s="39">
        <f>C802/B802*100</f>
        <v>97.098725206394803</v>
      </c>
    </row>
    <row r="803" spans="1:5">
      <c r="A803" s="40" t="s">
        <v>44</v>
      </c>
      <c r="B803" s="41">
        <v>0</v>
      </c>
      <c r="C803" s="41">
        <v>-51138.48</v>
      </c>
      <c r="D803" s="42">
        <v>83.55</v>
      </c>
      <c r="E803" s="39"/>
    </row>
    <row r="804" spans="1:5">
      <c r="A804" s="40" t="s">
        <v>50</v>
      </c>
      <c r="B804" s="41">
        <v>29315.29</v>
      </c>
      <c r="C804" s="41">
        <v>28430.03</v>
      </c>
      <c r="D804" s="42">
        <v>3869.38</v>
      </c>
      <c r="E804" s="39">
        <f t="shared" ref="E804:E809" si="32">C804/B804*100</f>
        <v>96.980210668221261</v>
      </c>
    </row>
    <row r="805" spans="1:5">
      <c r="A805" s="40" t="s">
        <v>36</v>
      </c>
      <c r="B805" s="41">
        <v>107580.36</v>
      </c>
      <c r="C805" s="41">
        <v>122033.71</v>
      </c>
      <c r="D805" s="42">
        <v>14304.25</v>
      </c>
      <c r="E805" s="39">
        <f t="shared" si="32"/>
        <v>113.43493366261276</v>
      </c>
    </row>
    <row r="806" spans="1:5">
      <c r="A806" s="40" t="s">
        <v>47</v>
      </c>
      <c r="B806" s="41">
        <v>9867.4</v>
      </c>
      <c r="C806" s="41">
        <v>635.6</v>
      </c>
      <c r="D806" s="42">
        <v>2182.6</v>
      </c>
      <c r="E806" s="39">
        <f t="shared" si="32"/>
        <v>6.4414131382127007</v>
      </c>
    </row>
    <row r="807" spans="1:5">
      <c r="A807" s="40" t="s">
        <v>41</v>
      </c>
      <c r="B807" s="41">
        <v>77220.289999999994</v>
      </c>
      <c r="C807" s="41">
        <v>75269.179999999993</v>
      </c>
      <c r="D807" s="42">
        <v>9240.85</v>
      </c>
      <c r="E807" s="39">
        <f t="shared" si="32"/>
        <v>97.473319512268091</v>
      </c>
    </row>
    <row r="808" spans="1:5">
      <c r="A808" s="40" t="s">
        <v>51</v>
      </c>
      <c r="B808" s="41">
        <v>222035.79</v>
      </c>
      <c r="C808" s="41">
        <v>236918.98</v>
      </c>
      <c r="D808" s="42">
        <v>15037.28</v>
      </c>
      <c r="E808" s="39">
        <f t="shared" si="32"/>
        <v>106.70305899783095</v>
      </c>
    </row>
    <row r="809" spans="1:5">
      <c r="A809" s="43" t="s">
        <v>45</v>
      </c>
      <c r="B809" s="44">
        <v>1522683.4</v>
      </c>
      <c r="C809" s="44">
        <v>1503393.21</v>
      </c>
      <c r="D809" s="45">
        <v>176651.93</v>
      </c>
      <c r="E809" s="46">
        <f t="shared" si="32"/>
        <v>98.733145051689675</v>
      </c>
    </row>
    <row r="810" spans="1:5">
      <c r="A810" s="54" t="s">
        <v>146</v>
      </c>
      <c r="B810" s="54"/>
      <c r="C810" s="54"/>
      <c r="D810" s="54"/>
      <c r="E810" s="39"/>
    </row>
    <row r="811" spans="1:5">
      <c r="A811" s="40" t="s">
        <v>39</v>
      </c>
      <c r="B811" s="41">
        <v>45170.69</v>
      </c>
      <c r="C811" s="41">
        <v>49790.57</v>
      </c>
      <c r="D811" s="42">
        <v>8302.2900000000009</v>
      </c>
      <c r="E811" s="39">
        <f t="shared" ref="E811:E817" si="33">C811/B811*100</f>
        <v>110.2276055557265</v>
      </c>
    </row>
    <row r="812" spans="1:5">
      <c r="A812" s="40" t="s">
        <v>50</v>
      </c>
      <c r="B812" s="41">
        <v>22712.62</v>
      </c>
      <c r="C812" s="41">
        <v>20428.919999999998</v>
      </c>
      <c r="D812" s="42">
        <v>6579.07</v>
      </c>
      <c r="E812" s="39">
        <f t="shared" si="33"/>
        <v>89.945237493516814</v>
      </c>
    </row>
    <row r="813" spans="1:5">
      <c r="A813" s="40" t="s">
        <v>51</v>
      </c>
      <c r="B813" s="41">
        <v>184468.81</v>
      </c>
      <c r="C813" s="41">
        <v>201146.81</v>
      </c>
      <c r="D813" s="42">
        <v>20693.27</v>
      </c>
      <c r="E813" s="39">
        <f t="shared" si="33"/>
        <v>109.04109480621685</v>
      </c>
    </row>
    <row r="814" spans="1:5">
      <c r="A814" s="40" t="s">
        <v>53</v>
      </c>
      <c r="B814" s="41">
        <v>-22189.87</v>
      </c>
      <c r="C814" s="41">
        <v>-28767.41</v>
      </c>
      <c r="D814" s="42">
        <v>255.09</v>
      </c>
      <c r="E814" s="39">
        <f t="shared" si="33"/>
        <v>129.64208442861539</v>
      </c>
    </row>
    <row r="815" spans="1:5">
      <c r="A815" s="40" t="s">
        <v>37</v>
      </c>
      <c r="B815" s="41">
        <v>40177.370000000003</v>
      </c>
      <c r="C815" s="41">
        <v>44306.04</v>
      </c>
      <c r="D815" s="42">
        <v>2991.91</v>
      </c>
      <c r="E815" s="39">
        <f t="shared" si="33"/>
        <v>110.27610816735888</v>
      </c>
    </row>
    <row r="816" spans="1:5">
      <c r="A816" s="40" t="s">
        <v>42</v>
      </c>
      <c r="B816" s="41">
        <v>66453.119999999995</v>
      </c>
      <c r="C816" s="41">
        <v>64881.25</v>
      </c>
      <c r="D816" s="42">
        <v>7512.32</v>
      </c>
      <c r="E816" s="39">
        <f t="shared" si="33"/>
        <v>97.634618209047233</v>
      </c>
    </row>
    <row r="817" spans="1:5">
      <c r="A817" s="40" t="s">
        <v>33</v>
      </c>
      <c r="B817" s="41">
        <v>112632.48</v>
      </c>
      <c r="C817" s="41">
        <v>124216.09</v>
      </c>
      <c r="D817" s="42">
        <v>20788.330000000002</v>
      </c>
      <c r="E817" s="39">
        <f t="shared" si="33"/>
        <v>110.28443127595166</v>
      </c>
    </row>
    <row r="818" spans="1:5">
      <c r="A818" s="40" t="s">
        <v>44</v>
      </c>
      <c r="B818" s="41">
        <v>0</v>
      </c>
      <c r="C818" s="41">
        <v>-51787.32</v>
      </c>
      <c r="D818" s="42">
        <v>1721.01</v>
      </c>
      <c r="E818" s="39"/>
    </row>
    <row r="819" spans="1:5">
      <c r="A819" s="40" t="s">
        <v>41</v>
      </c>
      <c r="B819" s="41">
        <v>60700.08</v>
      </c>
      <c r="C819" s="41">
        <v>55785.53</v>
      </c>
      <c r="D819" s="42">
        <v>16183.32</v>
      </c>
      <c r="E819" s="39">
        <f>C819/B819*100</f>
        <v>91.903552680655437</v>
      </c>
    </row>
    <row r="820" spans="1:5">
      <c r="A820" s="40" t="s">
        <v>34</v>
      </c>
      <c r="B820" s="41">
        <v>0</v>
      </c>
      <c r="C820" s="41">
        <v>9731.7000000000007</v>
      </c>
      <c r="D820" s="42">
        <v>87830.07</v>
      </c>
      <c r="E820" s="39"/>
    </row>
    <row r="821" spans="1:5">
      <c r="A821" s="40" t="s">
        <v>38</v>
      </c>
      <c r="B821" s="41">
        <v>5376.89</v>
      </c>
      <c r="C821" s="41">
        <v>4983.59</v>
      </c>
      <c r="D821" s="42">
        <v>1081.5899999999999</v>
      </c>
      <c r="E821" s="39">
        <f t="shared" ref="E821:E830" si="34">C821/B821*100</f>
        <v>92.685362728268572</v>
      </c>
    </row>
    <row r="822" spans="1:5">
      <c r="A822" s="40" t="s">
        <v>43</v>
      </c>
      <c r="B822" s="41">
        <v>33860.25</v>
      </c>
      <c r="C822" s="41">
        <v>32108.87</v>
      </c>
      <c r="D822" s="42">
        <v>6650.4</v>
      </c>
      <c r="E822" s="39">
        <f t="shared" si="34"/>
        <v>94.827622359551384</v>
      </c>
    </row>
    <row r="823" spans="1:5">
      <c r="A823" s="40" t="s">
        <v>47</v>
      </c>
      <c r="B823" s="41">
        <v>8592.2000000000007</v>
      </c>
      <c r="C823" s="41">
        <v>558.20000000000005</v>
      </c>
      <c r="D823" s="42">
        <v>2179</v>
      </c>
      <c r="E823" s="39">
        <f t="shared" si="34"/>
        <v>6.496589930401993</v>
      </c>
    </row>
    <row r="824" spans="1:5">
      <c r="A824" s="40" t="s">
        <v>35</v>
      </c>
      <c r="B824" s="41">
        <v>595010.64</v>
      </c>
      <c r="C824" s="41">
        <v>562537.54</v>
      </c>
      <c r="D824" s="42">
        <v>117784.75</v>
      </c>
      <c r="E824" s="39">
        <f t="shared" si="34"/>
        <v>94.54243372858005</v>
      </c>
    </row>
    <row r="825" spans="1:5">
      <c r="A825" s="40" t="s">
        <v>32</v>
      </c>
      <c r="B825" s="41">
        <v>90145.51</v>
      </c>
      <c r="C825" s="41">
        <v>99217.9</v>
      </c>
      <c r="D825" s="42">
        <v>16605.46</v>
      </c>
      <c r="E825" s="39">
        <f t="shared" si="34"/>
        <v>110.06416182015056</v>
      </c>
    </row>
    <row r="826" spans="1:5">
      <c r="A826" s="40" t="s">
        <v>52</v>
      </c>
      <c r="B826" s="41">
        <v>-8946.7999999999993</v>
      </c>
      <c r="C826" s="41">
        <v>-8607.15</v>
      </c>
      <c r="D826" s="42">
        <v>-262.02999999999997</v>
      </c>
      <c r="E826" s="39">
        <f t="shared" si="34"/>
        <v>96.203670586131366</v>
      </c>
    </row>
    <row r="827" spans="1:5">
      <c r="A827" s="40" t="s">
        <v>40</v>
      </c>
      <c r="B827" s="41">
        <v>42061.08</v>
      </c>
      <c r="C827" s="41">
        <v>37641.31</v>
      </c>
      <c r="D827" s="42">
        <v>13230.95</v>
      </c>
      <c r="E827" s="39">
        <f t="shared" si="34"/>
        <v>89.492019700873101</v>
      </c>
    </row>
    <row r="828" spans="1:5">
      <c r="A828" s="40" t="s">
        <v>135</v>
      </c>
      <c r="B828" s="41">
        <v>44724.32</v>
      </c>
      <c r="C828" s="41">
        <v>37122.51</v>
      </c>
      <c r="D828" s="42">
        <v>10157.52</v>
      </c>
      <c r="E828" s="39">
        <f t="shared" si="34"/>
        <v>83.002961252401391</v>
      </c>
    </row>
    <row r="829" spans="1:5">
      <c r="A829" s="40" t="s">
        <v>36</v>
      </c>
      <c r="B829" s="41">
        <v>107402.7</v>
      </c>
      <c r="C829" s="41">
        <v>119397.17</v>
      </c>
      <c r="D829" s="42">
        <v>19851.71</v>
      </c>
      <c r="E829" s="39">
        <f t="shared" si="34"/>
        <v>111.1677546281425</v>
      </c>
    </row>
    <row r="830" spans="1:5">
      <c r="A830" s="43" t="s">
        <v>45</v>
      </c>
      <c r="B830" s="44">
        <v>1428352.09</v>
      </c>
      <c r="C830" s="44">
        <v>1374692.12</v>
      </c>
      <c r="D830" s="45">
        <v>360136.03</v>
      </c>
      <c r="E830" s="46">
        <f t="shared" si="34"/>
        <v>96.243225296082286</v>
      </c>
    </row>
    <row r="831" spans="1:5">
      <c r="A831" s="54" t="s">
        <v>147</v>
      </c>
      <c r="B831" s="54"/>
      <c r="C831" s="54"/>
      <c r="D831" s="54"/>
      <c r="E831" s="39"/>
    </row>
    <row r="832" spans="1:5">
      <c r="A832" s="40" t="s">
        <v>47</v>
      </c>
      <c r="B832" s="41">
        <v>12896.2</v>
      </c>
      <c r="C832" s="41">
        <v>1147.5999999999999</v>
      </c>
      <c r="D832" s="42">
        <v>2141</v>
      </c>
      <c r="E832" s="39">
        <f>C832/B832*100</f>
        <v>8.8987453668522498</v>
      </c>
    </row>
    <row r="833" spans="1:5">
      <c r="A833" s="40" t="s">
        <v>42</v>
      </c>
      <c r="B833" s="41">
        <v>54371.64</v>
      </c>
      <c r="C833" s="41">
        <v>49103.95</v>
      </c>
      <c r="D833" s="42">
        <v>14534.39</v>
      </c>
      <c r="E833" s="39">
        <f>C833/B833*100</f>
        <v>90.311695582476446</v>
      </c>
    </row>
    <row r="834" spans="1:5">
      <c r="A834" s="40" t="s">
        <v>44</v>
      </c>
      <c r="B834" s="41">
        <v>0</v>
      </c>
      <c r="C834" s="41">
        <v>-31499.13</v>
      </c>
      <c r="D834" s="42">
        <v>4247.7700000000004</v>
      </c>
      <c r="E834" s="39"/>
    </row>
    <row r="835" spans="1:5">
      <c r="A835" s="40" t="s">
        <v>33</v>
      </c>
      <c r="B835" s="41">
        <v>110668.2</v>
      </c>
      <c r="C835" s="41">
        <v>108761.54</v>
      </c>
      <c r="D835" s="42">
        <v>37684.85</v>
      </c>
      <c r="E835" s="39">
        <f>C835/B835*100</f>
        <v>98.277138328806274</v>
      </c>
    </row>
    <row r="836" spans="1:5">
      <c r="A836" s="40" t="s">
        <v>32</v>
      </c>
      <c r="B836" s="41">
        <v>88573.57</v>
      </c>
      <c r="C836" s="41">
        <v>86858.2</v>
      </c>
      <c r="D836" s="42">
        <v>30076.51</v>
      </c>
      <c r="E836" s="39">
        <f>C836/B836*100</f>
        <v>98.063338758954828</v>
      </c>
    </row>
    <row r="837" spans="1:5">
      <c r="A837" s="40" t="s">
        <v>34</v>
      </c>
      <c r="B837" s="41">
        <v>0</v>
      </c>
      <c r="C837" s="41">
        <v>122813.28</v>
      </c>
      <c r="D837" s="42">
        <v>229707.39</v>
      </c>
      <c r="E837" s="39"/>
    </row>
    <row r="838" spans="1:5">
      <c r="A838" s="40" t="s">
        <v>50</v>
      </c>
      <c r="B838" s="41">
        <v>30314.11</v>
      </c>
      <c r="C838" s="41">
        <v>23377.25</v>
      </c>
      <c r="D838" s="42">
        <v>16247.6</v>
      </c>
      <c r="E838" s="39">
        <f t="shared" ref="E838:E851" si="35">C838/B838*100</f>
        <v>77.116728810445039</v>
      </c>
    </row>
    <row r="839" spans="1:5">
      <c r="A839" s="40" t="s">
        <v>35</v>
      </c>
      <c r="B839" s="41">
        <v>584634.06000000006</v>
      </c>
      <c r="C839" s="41">
        <v>515387.7</v>
      </c>
      <c r="D839" s="42">
        <v>206777.62</v>
      </c>
      <c r="E839" s="39">
        <f t="shared" si="35"/>
        <v>88.155606260777887</v>
      </c>
    </row>
    <row r="840" spans="1:5">
      <c r="A840" s="40" t="s">
        <v>38</v>
      </c>
      <c r="B840" s="41">
        <v>6402.87</v>
      </c>
      <c r="C840" s="41">
        <v>5777.33</v>
      </c>
      <c r="D840" s="42">
        <v>1929.34</v>
      </c>
      <c r="E840" s="39">
        <f t="shared" si="35"/>
        <v>90.230318591506617</v>
      </c>
    </row>
    <row r="841" spans="1:5">
      <c r="A841" s="40" t="s">
        <v>52</v>
      </c>
      <c r="B841" s="41">
        <v>-3006.15</v>
      </c>
      <c r="C841" s="41">
        <v>-2523.7199999999998</v>
      </c>
      <c r="D841" s="42">
        <v>-1231.27</v>
      </c>
      <c r="E841" s="39">
        <f t="shared" si="35"/>
        <v>83.951898607853892</v>
      </c>
    </row>
    <row r="842" spans="1:5">
      <c r="A842" s="40" t="s">
        <v>41</v>
      </c>
      <c r="B842" s="41">
        <v>69604.67</v>
      </c>
      <c r="C842" s="41">
        <v>59474.63</v>
      </c>
      <c r="D842" s="42">
        <v>30296.68</v>
      </c>
      <c r="E842" s="39">
        <f t="shared" si="35"/>
        <v>85.446321345967164</v>
      </c>
    </row>
    <row r="843" spans="1:5">
      <c r="A843" s="40" t="s">
        <v>43</v>
      </c>
      <c r="B843" s="41">
        <v>40327.599999999999</v>
      </c>
      <c r="C843" s="41">
        <v>37039.43</v>
      </c>
      <c r="D843" s="42">
        <v>13863.85</v>
      </c>
      <c r="E843" s="39">
        <f t="shared" si="35"/>
        <v>91.846353365933012</v>
      </c>
    </row>
    <row r="844" spans="1:5">
      <c r="A844" s="40" t="s">
        <v>135</v>
      </c>
      <c r="B844" s="41">
        <v>60108.23</v>
      </c>
      <c r="C844" s="41">
        <v>51452.83</v>
      </c>
      <c r="D844" s="42">
        <v>18105.63</v>
      </c>
      <c r="E844" s="39">
        <f t="shared" si="35"/>
        <v>85.600307977792724</v>
      </c>
    </row>
    <row r="845" spans="1:5">
      <c r="A845" s="40" t="s">
        <v>37</v>
      </c>
      <c r="B845" s="41">
        <v>41821.58</v>
      </c>
      <c r="C845" s="41">
        <v>38800.21</v>
      </c>
      <c r="D845" s="42">
        <v>14451.68</v>
      </c>
      <c r="E845" s="39">
        <f t="shared" si="35"/>
        <v>92.775571845922599</v>
      </c>
    </row>
    <row r="846" spans="1:5">
      <c r="A846" s="40" t="s">
        <v>39</v>
      </c>
      <c r="B846" s="41">
        <v>44382.89</v>
      </c>
      <c r="C846" s="41">
        <v>43616.46</v>
      </c>
      <c r="D846" s="42">
        <v>15066.96</v>
      </c>
      <c r="E846" s="39">
        <f t="shared" si="35"/>
        <v>98.273140843239361</v>
      </c>
    </row>
    <row r="847" spans="1:5">
      <c r="A847" s="40" t="s">
        <v>53</v>
      </c>
      <c r="B847" s="41">
        <v>-26442.31</v>
      </c>
      <c r="C847" s="41">
        <v>-35831.89</v>
      </c>
      <c r="D847" s="42">
        <v>417.91</v>
      </c>
      <c r="E847" s="39">
        <f t="shared" si="35"/>
        <v>135.50968126460964</v>
      </c>
    </row>
    <row r="848" spans="1:5">
      <c r="A848" s="40" t="s">
        <v>51</v>
      </c>
      <c r="B848" s="41">
        <v>252414.28</v>
      </c>
      <c r="C848" s="41">
        <v>235607.22</v>
      </c>
      <c r="D848" s="42">
        <v>88599.75</v>
      </c>
      <c r="E848" s="39">
        <f t="shared" si="35"/>
        <v>93.341478144580421</v>
      </c>
    </row>
    <row r="849" spans="1:5">
      <c r="A849" s="40" t="s">
        <v>36</v>
      </c>
      <c r="B849" s="41">
        <v>105529.68</v>
      </c>
      <c r="C849" s="41">
        <v>104454.23</v>
      </c>
      <c r="D849" s="42">
        <v>36061.89</v>
      </c>
      <c r="E849" s="39">
        <f t="shared" si="35"/>
        <v>98.980902813312809</v>
      </c>
    </row>
    <row r="850" spans="1:5">
      <c r="A850" s="40" t="s">
        <v>40</v>
      </c>
      <c r="B850" s="41">
        <v>52250.16</v>
      </c>
      <c r="C850" s="41">
        <v>45649.8</v>
      </c>
      <c r="D850" s="42">
        <v>22874.1</v>
      </c>
      <c r="E850" s="39">
        <f t="shared" si="35"/>
        <v>87.367770739840793</v>
      </c>
    </row>
    <row r="851" spans="1:5">
      <c r="A851" s="43" t="s">
        <v>45</v>
      </c>
      <c r="B851" s="44">
        <v>1524851.28</v>
      </c>
      <c r="C851" s="44">
        <v>1459466.92</v>
      </c>
      <c r="D851" s="45">
        <v>781853.65</v>
      </c>
      <c r="E851" s="46">
        <f t="shared" si="35"/>
        <v>95.712082820299699</v>
      </c>
    </row>
    <row r="852" spans="1:5">
      <c r="A852" s="54" t="s">
        <v>148</v>
      </c>
      <c r="B852" s="54"/>
      <c r="C852" s="54"/>
      <c r="D852" s="54"/>
      <c r="E852" s="39"/>
    </row>
    <row r="853" spans="1:5">
      <c r="A853" s="40" t="s">
        <v>33</v>
      </c>
      <c r="B853" s="41">
        <v>114513.9</v>
      </c>
      <c r="C853" s="41">
        <v>124263.18</v>
      </c>
      <c r="D853" s="42">
        <v>28004.84</v>
      </c>
      <c r="E853" s="39">
        <f>C853/B853*100</f>
        <v>108.51362149049154</v>
      </c>
    </row>
    <row r="854" spans="1:5">
      <c r="A854" s="40" t="s">
        <v>46</v>
      </c>
      <c r="B854" s="41">
        <v>379194.43</v>
      </c>
      <c r="C854" s="41">
        <v>371656.36</v>
      </c>
      <c r="D854" s="42">
        <v>108632.99</v>
      </c>
      <c r="E854" s="39">
        <f>C854/B854*100</f>
        <v>98.012083141622099</v>
      </c>
    </row>
    <row r="855" spans="1:5">
      <c r="A855" s="40" t="s">
        <v>34</v>
      </c>
      <c r="B855" s="41">
        <v>0</v>
      </c>
      <c r="C855" s="41">
        <v>23842.39</v>
      </c>
      <c r="D855" s="42">
        <v>202322.8</v>
      </c>
      <c r="E855" s="39"/>
    </row>
    <row r="856" spans="1:5">
      <c r="A856" s="40" t="s">
        <v>43</v>
      </c>
      <c r="B856" s="41">
        <v>42643.48</v>
      </c>
      <c r="C856" s="41">
        <v>39330.449999999997</v>
      </c>
      <c r="D856" s="42">
        <v>13268.68</v>
      </c>
      <c r="E856" s="39">
        <f>C856/B856*100</f>
        <v>92.230863897599335</v>
      </c>
    </row>
    <row r="857" spans="1:5">
      <c r="A857" s="40" t="s">
        <v>53</v>
      </c>
      <c r="B857" s="41">
        <v>-6862.32</v>
      </c>
      <c r="C857" s="41">
        <v>-8567.36</v>
      </c>
      <c r="D857" s="42">
        <v>225.32</v>
      </c>
      <c r="E857" s="39">
        <f>C857/B857*100</f>
        <v>124.84640762890686</v>
      </c>
    </row>
    <row r="858" spans="1:5">
      <c r="A858" s="40" t="s">
        <v>44</v>
      </c>
      <c r="B858" s="41">
        <v>0</v>
      </c>
      <c r="C858" s="41">
        <v>-41935.440000000002</v>
      </c>
      <c r="D858" s="42">
        <v>3835.14</v>
      </c>
      <c r="E858" s="39"/>
    </row>
    <row r="859" spans="1:5">
      <c r="A859" s="40" t="s">
        <v>35</v>
      </c>
      <c r="B859" s="41">
        <v>0</v>
      </c>
      <c r="C859" s="41">
        <v>0</v>
      </c>
      <c r="D859" s="42">
        <v>0</v>
      </c>
      <c r="E859" s="39"/>
    </row>
    <row r="860" spans="1:5">
      <c r="A860" s="40" t="s">
        <v>36</v>
      </c>
      <c r="B860" s="41">
        <v>109197</v>
      </c>
      <c r="C860" s="41">
        <v>120843.94</v>
      </c>
      <c r="D860" s="42">
        <v>26794.63</v>
      </c>
      <c r="E860" s="39">
        <f>C860/B860*100</f>
        <v>110.6659889923716</v>
      </c>
    </row>
    <row r="861" spans="1:5">
      <c r="A861" s="40" t="s">
        <v>38</v>
      </c>
      <c r="B861" s="41">
        <v>6773.67</v>
      </c>
      <c r="C861" s="41">
        <v>6245.67</v>
      </c>
      <c r="D861" s="42">
        <v>2077.11</v>
      </c>
      <c r="E861" s="39">
        <f t="shared" ref="E861:E871" si="36">C861/B861*100</f>
        <v>92.205111852216007</v>
      </c>
    </row>
    <row r="862" spans="1:5">
      <c r="A862" s="40" t="s">
        <v>32</v>
      </c>
      <c r="B862" s="41">
        <v>91651.33</v>
      </c>
      <c r="C862" s="41">
        <v>99252.31</v>
      </c>
      <c r="D862" s="42">
        <v>22349.65</v>
      </c>
      <c r="E862" s="39">
        <f t="shared" si="36"/>
        <v>108.29336573730026</v>
      </c>
    </row>
    <row r="863" spans="1:5">
      <c r="A863" s="40" t="s">
        <v>50</v>
      </c>
      <c r="B863" s="41">
        <v>36910.17</v>
      </c>
      <c r="C863" s="41">
        <v>31671.4</v>
      </c>
      <c r="D863" s="42">
        <v>18399.18</v>
      </c>
      <c r="E863" s="39">
        <f t="shared" si="36"/>
        <v>85.806703138999367</v>
      </c>
    </row>
    <row r="864" spans="1:5">
      <c r="A864" s="40" t="s">
        <v>40</v>
      </c>
      <c r="B864" s="41">
        <v>44959.44</v>
      </c>
      <c r="C864" s="41">
        <v>34555.49</v>
      </c>
      <c r="D864" s="42">
        <v>22472.32</v>
      </c>
      <c r="E864" s="39">
        <f t="shared" si="36"/>
        <v>76.859253585009057</v>
      </c>
    </row>
    <row r="865" spans="1:5">
      <c r="A865" s="40" t="s">
        <v>39</v>
      </c>
      <c r="B865" s="41">
        <v>45925.19</v>
      </c>
      <c r="C865" s="41">
        <v>49857.14</v>
      </c>
      <c r="D865" s="42">
        <v>11197.98</v>
      </c>
      <c r="E865" s="39">
        <f t="shared" si="36"/>
        <v>108.56164122565414</v>
      </c>
    </row>
    <row r="866" spans="1:5">
      <c r="A866" s="40" t="s">
        <v>42</v>
      </c>
      <c r="B866" s="41">
        <v>65367.48</v>
      </c>
      <c r="C866" s="41">
        <v>69925.78</v>
      </c>
      <c r="D866" s="42">
        <v>5882.78</v>
      </c>
      <c r="E866" s="39">
        <f t="shared" si="36"/>
        <v>106.97334515572574</v>
      </c>
    </row>
    <row r="867" spans="1:5">
      <c r="A867" s="40" t="s">
        <v>37</v>
      </c>
      <c r="B867" s="41">
        <v>51513.8</v>
      </c>
      <c r="C867" s="41">
        <v>44139.73</v>
      </c>
      <c r="D867" s="42">
        <v>25619.69</v>
      </c>
      <c r="E867" s="39">
        <f t="shared" si="36"/>
        <v>85.685253271938791</v>
      </c>
    </row>
    <row r="868" spans="1:5">
      <c r="A868" s="40" t="s">
        <v>47</v>
      </c>
      <c r="B868" s="41">
        <v>9394</v>
      </c>
      <c r="C868" s="41">
        <v>1795.25</v>
      </c>
      <c r="D868" s="42">
        <v>2215.4</v>
      </c>
      <c r="E868" s="39">
        <f t="shared" si="36"/>
        <v>19.110602512241854</v>
      </c>
    </row>
    <row r="869" spans="1:5">
      <c r="A869" s="40" t="s">
        <v>51</v>
      </c>
      <c r="B869" s="41">
        <v>227234.16</v>
      </c>
      <c r="C869" s="41">
        <v>203843.45</v>
      </c>
      <c r="D869" s="42">
        <v>104722.28</v>
      </c>
      <c r="E869" s="39">
        <f t="shared" si="36"/>
        <v>89.706340807209628</v>
      </c>
    </row>
    <row r="870" spans="1:5">
      <c r="A870" s="40" t="s">
        <v>41</v>
      </c>
      <c r="B870" s="41">
        <v>85336.43</v>
      </c>
      <c r="C870" s="41">
        <v>73407.34</v>
      </c>
      <c r="D870" s="42">
        <v>42207.59</v>
      </c>
      <c r="E870" s="39">
        <f t="shared" si="36"/>
        <v>86.021104937246619</v>
      </c>
    </row>
    <row r="871" spans="1:5">
      <c r="A871" s="43" t="s">
        <v>45</v>
      </c>
      <c r="B871" s="44">
        <v>1303752.1599999999</v>
      </c>
      <c r="C871" s="44">
        <v>1244127.08</v>
      </c>
      <c r="D871" s="45">
        <v>640228.38</v>
      </c>
      <c r="E871" s="46">
        <f t="shared" si="36"/>
        <v>95.426655323815552</v>
      </c>
    </row>
    <row r="872" spans="1:5">
      <c r="A872" s="54" t="s">
        <v>149</v>
      </c>
      <c r="B872" s="54"/>
      <c r="C872" s="54"/>
      <c r="D872" s="54"/>
      <c r="E872" s="39"/>
    </row>
    <row r="873" spans="1:5">
      <c r="A873" s="40" t="s">
        <v>47</v>
      </c>
      <c r="B873" s="41">
        <v>13331.4</v>
      </c>
      <c r="C873" s="41">
        <v>591.54</v>
      </c>
      <c r="D873" s="42">
        <v>2129.8000000000002</v>
      </c>
      <c r="E873" s="39">
        <f t="shared" ref="E873:E880" si="37">C873/B873*100</f>
        <v>4.4371933930419907</v>
      </c>
    </row>
    <row r="874" spans="1:5">
      <c r="A874" s="40" t="s">
        <v>33</v>
      </c>
      <c r="B874" s="41">
        <v>110089.14</v>
      </c>
      <c r="C874" s="41">
        <v>120574.74</v>
      </c>
      <c r="D874" s="42">
        <v>19801.04</v>
      </c>
      <c r="E874" s="39">
        <f t="shared" si="37"/>
        <v>109.52464521023599</v>
      </c>
    </row>
    <row r="875" spans="1:5">
      <c r="A875" s="40" t="s">
        <v>38</v>
      </c>
      <c r="B875" s="41">
        <v>6917.27</v>
      </c>
      <c r="C875" s="41">
        <v>6781.53</v>
      </c>
      <c r="D875" s="42">
        <v>364.75</v>
      </c>
      <c r="E875" s="39">
        <f t="shared" si="37"/>
        <v>98.037665148244884</v>
      </c>
    </row>
    <row r="876" spans="1:5">
      <c r="A876" s="40" t="s">
        <v>37</v>
      </c>
      <c r="B876" s="41">
        <v>53267.71</v>
      </c>
      <c r="C876" s="41">
        <v>54176.06</v>
      </c>
      <c r="D876" s="42">
        <v>9478.83</v>
      </c>
      <c r="E876" s="39">
        <f t="shared" si="37"/>
        <v>101.70525445903344</v>
      </c>
    </row>
    <row r="877" spans="1:5">
      <c r="A877" s="40" t="s">
        <v>32</v>
      </c>
      <c r="B877" s="41">
        <v>88109.94</v>
      </c>
      <c r="C877" s="41">
        <v>96120.9</v>
      </c>
      <c r="D877" s="42">
        <v>15818.87</v>
      </c>
      <c r="E877" s="39">
        <f t="shared" si="37"/>
        <v>109.09200482942106</v>
      </c>
    </row>
    <row r="878" spans="1:5">
      <c r="A878" s="40" t="s">
        <v>135</v>
      </c>
      <c r="B878" s="41">
        <v>44789.919999999998</v>
      </c>
      <c r="C878" s="41">
        <v>42542.23</v>
      </c>
      <c r="D878" s="42">
        <v>6000.96</v>
      </c>
      <c r="E878" s="39">
        <f t="shared" si="37"/>
        <v>94.981705705212264</v>
      </c>
    </row>
    <row r="879" spans="1:5">
      <c r="A879" s="40" t="s">
        <v>36</v>
      </c>
      <c r="B879" s="41">
        <v>104977.92</v>
      </c>
      <c r="C879" s="41">
        <v>115746.66</v>
      </c>
      <c r="D879" s="42">
        <v>18906.310000000001</v>
      </c>
      <c r="E879" s="39">
        <f t="shared" si="37"/>
        <v>110.25809998902628</v>
      </c>
    </row>
    <row r="880" spans="1:5">
      <c r="A880" s="40" t="s">
        <v>51</v>
      </c>
      <c r="B880" s="41">
        <v>211003.95</v>
      </c>
      <c r="C880" s="41">
        <v>203037.86</v>
      </c>
      <c r="D880" s="42">
        <v>54365.36</v>
      </c>
      <c r="E880" s="39">
        <f t="shared" si="37"/>
        <v>96.224672571295457</v>
      </c>
    </row>
    <row r="881" spans="1:5">
      <c r="A881" s="40" t="s">
        <v>34</v>
      </c>
      <c r="B881" s="41">
        <v>0</v>
      </c>
      <c r="C881" s="41">
        <v>66162.149999999994</v>
      </c>
      <c r="D881" s="42">
        <v>207363.1</v>
      </c>
      <c r="E881" s="39"/>
    </row>
    <row r="882" spans="1:5">
      <c r="A882" s="40" t="s">
        <v>50</v>
      </c>
      <c r="B882" s="41">
        <v>37552.67</v>
      </c>
      <c r="C882" s="41">
        <v>35519.33</v>
      </c>
      <c r="D882" s="42">
        <v>9194.41</v>
      </c>
      <c r="E882" s="39">
        <f>C882/B882*100</f>
        <v>94.585365035295766</v>
      </c>
    </row>
    <row r="883" spans="1:5">
      <c r="A883" s="40" t="s">
        <v>35</v>
      </c>
      <c r="B883" s="41">
        <v>581575.5</v>
      </c>
      <c r="C883" s="41">
        <v>571058.78</v>
      </c>
      <c r="D883" s="42">
        <v>109995.08</v>
      </c>
      <c r="E883" s="39">
        <f>C883/B883*100</f>
        <v>98.191684484645592</v>
      </c>
    </row>
    <row r="884" spans="1:5">
      <c r="A884" s="40" t="s">
        <v>39</v>
      </c>
      <c r="B884" s="41">
        <v>44150.879999999997</v>
      </c>
      <c r="C884" s="41">
        <v>47771.14</v>
      </c>
      <c r="D884" s="42">
        <v>7911.14</v>
      </c>
      <c r="E884" s="39">
        <f>C884/B884*100</f>
        <v>108.19974596202839</v>
      </c>
    </row>
    <row r="885" spans="1:5">
      <c r="A885" s="40" t="s">
        <v>44</v>
      </c>
      <c r="B885" s="41">
        <v>0</v>
      </c>
      <c r="C885" s="41">
        <v>-35491.86</v>
      </c>
      <c r="D885" s="42">
        <v>1828.91</v>
      </c>
      <c r="E885" s="39"/>
    </row>
    <row r="886" spans="1:5">
      <c r="A886" s="40" t="s">
        <v>41</v>
      </c>
      <c r="B886" s="41">
        <v>87618.32</v>
      </c>
      <c r="C886" s="41">
        <v>84654.02</v>
      </c>
      <c r="D886" s="42">
        <v>21039.67</v>
      </c>
      <c r="E886" s="39">
        <f t="shared" ref="E886:E892" si="38">C886/B886*100</f>
        <v>96.616803426498024</v>
      </c>
    </row>
    <row r="887" spans="1:5">
      <c r="A887" s="40" t="s">
        <v>53</v>
      </c>
      <c r="B887" s="41">
        <v>2884.7</v>
      </c>
      <c r="C887" s="41">
        <v>2122.7800000000002</v>
      </c>
      <c r="D887" s="42">
        <v>309.76</v>
      </c>
      <c r="E887" s="39">
        <f t="shared" si="38"/>
        <v>73.58754809858911</v>
      </c>
    </row>
    <row r="888" spans="1:5">
      <c r="A888" s="40" t="s">
        <v>40</v>
      </c>
      <c r="B888" s="41">
        <v>29033.4</v>
      </c>
      <c r="C888" s="41">
        <v>28372.18</v>
      </c>
      <c r="D888" s="42">
        <v>7386.07</v>
      </c>
      <c r="E888" s="39">
        <f t="shared" si="38"/>
        <v>97.722554023986163</v>
      </c>
    </row>
    <row r="889" spans="1:5">
      <c r="A889" s="40" t="s">
        <v>42</v>
      </c>
      <c r="B889" s="41">
        <v>71303.64</v>
      </c>
      <c r="C889" s="41">
        <v>70400.509999999995</v>
      </c>
      <c r="D889" s="42">
        <v>11851.6</v>
      </c>
      <c r="E889" s="39">
        <f t="shared" si="38"/>
        <v>98.733402670606992</v>
      </c>
    </row>
    <row r="890" spans="1:5">
      <c r="A890" s="40" t="s">
        <v>43</v>
      </c>
      <c r="B890" s="41">
        <v>43563.66</v>
      </c>
      <c r="C890" s="41">
        <v>43379.27</v>
      </c>
      <c r="D890" s="42">
        <v>7632.18</v>
      </c>
      <c r="E890" s="39">
        <f t="shared" si="38"/>
        <v>99.576734369885344</v>
      </c>
    </row>
    <row r="891" spans="1:5">
      <c r="A891" s="40" t="s">
        <v>52</v>
      </c>
      <c r="B891" s="41">
        <v>-599</v>
      </c>
      <c r="C891" s="41">
        <v>-2319.7600000000002</v>
      </c>
      <c r="D891" s="42">
        <v>33.53</v>
      </c>
      <c r="E891" s="39">
        <f t="shared" si="38"/>
        <v>387.27212020033392</v>
      </c>
    </row>
    <row r="892" spans="1:5">
      <c r="A892" s="43" t="s">
        <v>45</v>
      </c>
      <c r="B892" s="44">
        <v>1529571.02</v>
      </c>
      <c r="C892" s="44">
        <v>1551200.06</v>
      </c>
      <c r="D892" s="45">
        <v>511411.37</v>
      </c>
      <c r="E892" s="46">
        <f t="shared" si="38"/>
        <v>101.4140592177276</v>
      </c>
    </row>
    <row r="893" spans="1:5">
      <c r="A893" s="54" t="s">
        <v>150</v>
      </c>
      <c r="B893" s="54"/>
      <c r="C893" s="54"/>
      <c r="D893" s="54"/>
      <c r="E893" s="39"/>
    </row>
    <row r="894" spans="1:5">
      <c r="A894" s="40" t="s">
        <v>32</v>
      </c>
      <c r="B894" s="41">
        <v>68318.52</v>
      </c>
      <c r="C894" s="41">
        <v>67427.8</v>
      </c>
      <c r="D894" s="42">
        <v>24531.68</v>
      </c>
      <c r="E894" s="39">
        <f>C894/B894*100</f>
        <v>98.696224684024187</v>
      </c>
    </row>
    <row r="895" spans="1:5">
      <c r="A895" s="40" t="s">
        <v>39</v>
      </c>
      <c r="B895" s="41">
        <v>34233.54</v>
      </c>
      <c r="C895" s="41">
        <v>33876.75</v>
      </c>
      <c r="D895" s="42">
        <v>12297.26</v>
      </c>
      <c r="E895" s="39">
        <f>C895/B895*100</f>
        <v>98.95777649638336</v>
      </c>
    </row>
    <row r="896" spans="1:5">
      <c r="A896" s="40" t="s">
        <v>51</v>
      </c>
      <c r="B896" s="41">
        <v>216973.91</v>
      </c>
      <c r="C896" s="41">
        <v>227801.08</v>
      </c>
      <c r="D896" s="42">
        <v>79790.509999999995</v>
      </c>
      <c r="E896" s="39">
        <f>C896/B896*100</f>
        <v>104.99007922196728</v>
      </c>
    </row>
    <row r="897" spans="1:5">
      <c r="A897" s="40" t="s">
        <v>36</v>
      </c>
      <c r="B897" s="41">
        <v>81397.5</v>
      </c>
      <c r="C897" s="41">
        <v>81211.98</v>
      </c>
      <c r="D897" s="42">
        <v>29425.98</v>
      </c>
      <c r="E897" s="39">
        <f>C897/B897*100</f>
        <v>99.772081452133037</v>
      </c>
    </row>
    <row r="898" spans="1:5">
      <c r="A898" s="40" t="s">
        <v>40</v>
      </c>
      <c r="B898" s="41">
        <v>24341.34</v>
      </c>
      <c r="C898" s="41">
        <v>21095.13</v>
      </c>
      <c r="D898" s="42">
        <v>13038.21</v>
      </c>
      <c r="E898" s="39">
        <f>C898/B898*100</f>
        <v>86.66379911705765</v>
      </c>
    </row>
    <row r="899" spans="1:5">
      <c r="A899" s="40" t="s">
        <v>34</v>
      </c>
      <c r="B899" s="41">
        <v>0</v>
      </c>
      <c r="C899" s="41">
        <v>9768.9</v>
      </c>
      <c r="D899" s="42">
        <v>304355.96000000002</v>
      </c>
      <c r="E899" s="39"/>
    </row>
    <row r="900" spans="1:5">
      <c r="A900" s="40" t="s">
        <v>37</v>
      </c>
      <c r="B900" s="41">
        <v>48324.65</v>
      </c>
      <c r="C900" s="41">
        <v>45288.91</v>
      </c>
      <c r="D900" s="42">
        <v>19339.07</v>
      </c>
      <c r="E900" s="39">
        <f>C900/B900*100</f>
        <v>93.718030032292006</v>
      </c>
    </row>
    <row r="901" spans="1:5">
      <c r="A901" s="40" t="s">
        <v>42</v>
      </c>
      <c r="B901" s="41">
        <v>57898.38</v>
      </c>
      <c r="C901" s="41">
        <v>52416.57</v>
      </c>
      <c r="D901" s="42">
        <v>14397.92</v>
      </c>
      <c r="E901" s="39">
        <f>C901/B901*100</f>
        <v>90.532014885390581</v>
      </c>
    </row>
    <row r="902" spans="1:5">
      <c r="A902" s="40" t="s">
        <v>44</v>
      </c>
      <c r="B902" s="41">
        <v>0</v>
      </c>
      <c r="C902" s="41">
        <v>-32171.42</v>
      </c>
      <c r="D902" s="42">
        <v>4997.96</v>
      </c>
      <c r="E902" s="39"/>
    </row>
    <row r="903" spans="1:5">
      <c r="A903" s="40" t="s">
        <v>53</v>
      </c>
      <c r="B903" s="41">
        <v>-8926.74</v>
      </c>
      <c r="C903" s="41">
        <v>-33609.910000000003</v>
      </c>
      <c r="D903" s="42">
        <v>350.08</v>
      </c>
      <c r="E903" s="39">
        <f t="shared" ref="E903:E913" si="39">C903/B903*100</f>
        <v>376.50822136636674</v>
      </c>
    </row>
    <row r="904" spans="1:5">
      <c r="A904" s="40" t="s">
        <v>38</v>
      </c>
      <c r="B904" s="41">
        <v>3857.62</v>
      </c>
      <c r="C904" s="41">
        <v>3361.81</v>
      </c>
      <c r="D904" s="42">
        <v>1676.63</v>
      </c>
      <c r="E904" s="39">
        <f t="shared" si="39"/>
        <v>87.147256598628175</v>
      </c>
    </row>
    <row r="905" spans="1:5">
      <c r="A905" s="40" t="s">
        <v>43</v>
      </c>
      <c r="B905" s="41">
        <v>24288.38</v>
      </c>
      <c r="C905" s="41">
        <v>21214.25</v>
      </c>
      <c r="D905" s="42">
        <v>10747.03</v>
      </c>
      <c r="E905" s="39">
        <f t="shared" si="39"/>
        <v>87.343206916229079</v>
      </c>
    </row>
    <row r="906" spans="1:5">
      <c r="A906" s="40" t="s">
        <v>35</v>
      </c>
      <c r="B906" s="41">
        <v>450941.1</v>
      </c>
      <c r="C906" s="41">
        <v>389806.91</v>
      </c>
      <c r="D906" s="42">
        <v>174635.39</v>
      </c>
      <c r="E906" s="39">
        <f t="shared" si="39"/>
        <v>86.442976699174238</v>
      </c>
    </row>
    <row r="907" spans="1:5">
      <c r="A907" s="40" t="s">
        <v>33</v>
      </c>
      <c r="B907" s="41">
        <v>85360.68</v>
      </c>
      <c r="C907" s="41">
        <v>84431.18</v>
      </c>
      <c r="D907" s="42">
        <v>30749.439999999999</v>
      </c>
      <c r="E907" s="39">
        <f t="shared" si="39"/>
        <v>98.91109114875843</v>
      </c>
    </row>
    <row r="908" spans="1:5">
      <c r="A908" s="40" t="s">
        <v>50</v>
      </c>
      <c r="B908" s="41">
        <v>28324.32</v>
      </c>
      <c r="C908" s="41">
        <v>24509.82</v>
      </c>
      <c r="D908" s="42">
        <v>15255.25</v>
      </c>
      <c r="E908" s="39">
        <f t="shared" si="39"/>
        <v>86.532774661492311</v>
      </c>
    </row>
    <row r="909" spans="1:5">
      <c r="A909" s="40" t="s">
        <v>135</v>
      </c>
      <c r="B909" s="41">
        <v>44257.98</v>
      </c>
      <c r="C909" s="41">
        <v>33013.81</v>
      </c>
      <c r="D909" s="42">
        <v>16061.4</v>
      </c>
      <c r="E909" s="39">
        <f t="shared" si="39"/>
        <v>74.594028014834819</v>
      </c>
    </row>
    <row r="910" spans="1:5">
      <c r="A910" s="40" t="s">
        <v>52</v>
      </c>
      <c r="B910" s="41">
        <v>-3804.1</v>
      </c>
      <c r="C910" s="41">
        <v>-5589.59</v>
      </c>
      <c r="D910" s="42">
        <v>0</v>
      </c>
      <c r="E910" s="39">
        <f t="shared" si="39"/>
        <v>146.93593754107411</v>
      </c>
    </row>
    <row r="911" spans="1:5">
      <c r="A911" s="40" t="s">
        <v>47</v>
      </c>
      <c r="B911" s="41">
        <v>11643.4</v>
      </c>
      <c r="C911" s="41">
        <v>329.6</v>
      </c>
      <c r="D911" s="42">
        <v>1651.4</v>
      </c>
      <c r="E911" s="39">
        <f t="shared" si="39"/>
        <v>2.8307882577254069</v>
      </c>
    </row>
    <row r="912" spans="1:5">
      <c r="A912" s="40" t="s">
        <v>41</v>
      </c>
      <c r="B912" s="41">
        <v>73940.88</v>
      </c>
      <c r="C912" s="41">
        <v>63867.31</v>
      </c>
      <c r="D912" s="42">
        <v>36505.629999999997</v>
      </c>
      <c r="E912" s="39">
        <f t="shared" si="39"/>
        <v>86.376183242612186</v>
      </c>
    </row>
    <row r="913" spans="1:5">
      <c r="A913" s="43" t="s">
        <v>45</v>
      </c>
      <c r="B913" s="44">
        <v>1241371.3600000001</v>
      </c>
      <c r="C913" s="44">
        <v>1088050.8899999999</v>
      </c>
      <c r="D913" s="45">
        <v>789806.8</v>
      </c>
      <c r="E913" s="46">
        <f t="shared" si="39"/>
        <v>87.649105260491893</v>
      </c>
    </row>
    <row r="914" spans="1:5">
      <c r="A914" s="54" t="s">
        <v>151</v>
      </c>
      <c r="B914" s="54"/>
      <c r="C914" s="54"/>
      <c r="D914" s="54"/>
      <c r="E914" s="39"/>
    </row>
    <row r="915" spans="1:5">
      <c r="A915" s="40" t="s">
        <v>43</v>
      </c>
      <c r="B915" s="41">
        <v>25450.42</v>
      </c>
      <c r="C915" s="41">
        <v>24427.7</v>
      </c>
      <c r="D915" s="42">
        <v>4132.78</v>
      </c>
      <c r="E915" s="39">
        <f t="shared" ref="E915:E922" si="40">C915/B915*100</f>
        <v>95.981520147801106</v>
      </c>
    </row>
    <row r="916" spans="1:5">
      <c r="A916" s="40" t="s">
        <v>51</v>
      </c>
      <c r="B916" s="41">
        <v>187281.85</v>
      </c>
      <c r="C916" s="41">
        <v>205816.36</v>
      </c>
      <c r="D916" s="42">
        <v>7434.8</v>
      </c>
      <c r="E916" s="39">
        <f t="shared" si="40"/>
        <v>109.89658634833006</v>
      </c>
    </row>
    <row r="917" spans="1:5">
      <c r="A917" s="40" t="s">
        <v>135</v>
      </c>
      <c r="B917" s="41">
        <v>46288.17</v>
      </c>
      <c r="C917" s="41">
        <v>43113.64</v>
      </c>
      <c r="D917" s="42">
        <v>5976.25</v>
      </c>
      <c r="E917" s="39">
        <f t="shared" si="40"/>
        <v>93.141811395870704</v>
      </c>
    </row>
    <row r="918" spans="1:5">
      <c r="A918" s="40" t="s">
        <v>40</v>
      </c>
      <c r="B918" s="41">
        <v>15945.96</v>
      </c>
      <c r="C918" s="41">
        <v>14638.56</v>
      </c>
      <c r="D918" s="42">
        <v>5168.97</v>
      </c>
      <c r="E918" s="39">
        <f t="shared" si="40"/>
        <v>91.80105807364373</v>
      </c>
    </row>
    <row r="919" spans="1:5">
      <c r="A919" s="40" t="s">
        <v>32</v>
      </c>
      <c r="B919" s="41">
        <v>71082.02</v>
      </c>
      <c r="C919" s="41">
        <v>74277.95</v>
      </c>
      <c r="D919" s="42">
        <v>13007.33</v>
      </c>
      <c r="E919" s="39">
        <f t="shared" si="40"/>
        <v>104.49611589541207</v>
      </c>
    </row>
    <row r="920" spans="1:5">
      <c r="A920" s="40" t="s">
        <v>35</v>
      </c>
      <c r="B920" s="41">
        <v>469181.94</v>
      </c>
      <c r="C920" s="41">
        <v>440074.58</v>
      </c>
      <c r="D920" s="42">
        <v>87315.25</v>
      </c>
      <c r="E920" s="39">
        <f t="shared" si="40"/>
        <v>93.796146543918553</v>
      </c>
    </row>
    <row r="921" spans="1:5">
      <c r="A921" s="40" t="s">
        <v>41</v>
      </c>
      <c r="B921" s="41">
        <v>42072.97</v>
      </c>
      <c r="C921" s="41">
        <v>41710.01</v>
      </c>
      <c r="D921" s="42">
        <v>9281.59</v>
      </c>
      <c r="E921" s="39">
        <f t="shared" si="40"/>
        <v>99.137308347853747</v>
      </c>
    </row>
    <row r="922" spans="1:5">
      <c r="A922" s="40" t="s">
        <v>33</v>
      </c>
      <c r="B922" s="41">
        <v>88813.86</v>
      </c>
      <c r="C922" s="41">
        <v>92940.3</v>
      </c>
      <c r="D922" s="42">
        <v>16253.54</v>
      </c>
      <c r="E922" s="39">
        <f t="shared" si="40"/>
        <v>104.64616671316843</v>
      </c>
    </row>
    <row r="923" spans="1:5">
      <c r="A923" s="40" t="s">
        <v>34</v>
      </c>
      <c r="B923" s="41">
        <v>0</v>
      </c>
      <c r="C923" s="41">
        <v>2723.25</v>
      </c>
      <c r="D923" s="42">
        <v>0</v>
      </c>
      <c r="E923" s="39"/>
    </row>
    <row r="924" spans="1:5">
      <c r="A924" s="40" t="s">
        <v>38</v>
      </c>
      <c r="B924" s="41">
        <v>4042.4</v>
      </c>
      <c r="C924" s="41">
        <v>3888.21</v>
      </c>
      <c r="D924" s="42">
        <v>707.32</v>
      </c>
      <c r="E924" s="39">
        <f>C924/B924*100</f>
        <v>96.185681773204038</v>
      </c>
    </row>
    <row r="925" spans="1:5">
      <c r="A925" s="40" t="s">
        <v>47</v>
      </c>
      <c r="B925" s="41">
        <v>9295.7999999999993</v>
      </c>
      <c r="C925" s="41">
        <v>639.69000000000005</v>
      </c>
      <c r="D925" s="42">
        <v>1663</v>
      </c>
      <c r="E925" s="39">
        <f>C925/B925*100</f>
        <v>6.8814948686503588</v>
      </c>
    </row>
    <row r="926" spans="1:5">
      <c r="A926" s="40" t="s">
        <v>39</v>
      </c>
      <c r="B926" s="41">
        <v>35618.32</v>
      </c>
      <c r="C926" s="41">
        <v>37318.68</v>
      </c>
      <c r="D926" s="42">
        <v>6485.64</v>
      </c>
      <c r="E926" s="39">
        <f>C926/B926*100</f>
        <v>104.77383548690673</v>
      </c>
    </row>
    <row r="927" spans="1:5">
      <c r="A927" s="40" t="s">
        <v>52</v>
      </c>
      <c r="B927" s="41">
        <v>151.63999999999999</v>
      </c>
      <c r="C927" s="41">
        <v>211.17</v>
      </c>
      <c r="D927" s="42">
        <v>25.87</v>
      </c>
      <c r="E927" s="39">
        <f>C927/B927*100</f>
        <v>139.25745185966764</v>
      </c>
    </row>
    <row r="928" spans="1:5">
      <c r="A928" s="40" t="s">
        <v>42</v>
      </c>
      <c r="B928" s="41">
        <v>69620.399999999994</v>
      </c>
      <c r="C928" s="41">
        <v>65841.570000000007</v>
      </c>
      <c r="D928" s="42">
        <v>10099.36</v>
      </c>
      <c r="E928" s="39">
        <f>C928/B928*100</f>
        <v>94.572237447644667</v>
      </c>
    </row>
    <row r="929" spans="1:5">
      <c r="A929" s="40" t="s">
        <v>44</v>
      </c>
      <c r="B929" s="41">
        <v>0</v>
      </c>
      <c r="C929" s="41">
        <v>-30900.080000000002</v>
      </c>
      <c r="D929" s="42">
        <v>24.78</v>
      </c>
      <c r="E929" s="39"/>
    </row>
    <row r="930" spans="1:5">
      <c r="A930" s="40" t="s">
        <v>50</v>
      </c>
      <c r="B930" s="41">
        <v>18116.53</v>
      </c>
      <c r="C930" s="41">
        <v>17882.78</v>
      </c>
      <c r="D930" s="42">
        <v>3462.05</v>
      </c>
      <c r="E930" s="39">
        <f>C930/B930*100</f>
        <v>98.709741876617656</v>
      </c>
    </row>
    <row r="931" spans="1:5">
      <c r="A931" s="40" t="s">
        <v>36</v>
      </c>
      <c r="B931" s="41">
        <v>84689.94</v>
      </c>
      <c r="C931" s="41">
        <v>89539.5</v>
      </c>
      <c r="D931" s="42">
        <v>15494.37</v>
      </c>
      <c r="E931" s="39">
        <f>C931/B931*100</f>
        <v>105.72625272848227</v>
      </c>
    </row>
    <row r="932" spans="1:5">
      <c r="A932" s="40" t="s">
        <v>53</v>
      </c>
      <c r="B932" s="41">
        <v>-26392.400000000001</v>
      </c>
      <c r="C932" s="41">
        <v>-32999.31</v>
      </c>
      <c r="D932" s="42">
        <v>903.16</v>
      </c>
      <c r="E932" s="39">
        <f>C932/B932*100</f>
        <v>125.03338082175171</v>
      </c>
    </row>
    <row r="933" spans="1:5">
      <c r="A933" s="40" t="s">
        <v>37</v>
      </c>
      <c r="B933" s="41">
        <v>25501.68</v>
      </c>
      <c r="C933" s="41">
        <v>25878.97</v>
      </c>
      <c r="D933" s="42">
        <v>5322.49</v>
      </c>
      <c r="E933" s="39">
        <f>C933/B933*100</f>
        <v>101.4794711564101</v>
      </c>
    </row>
    <row r="934" spans="1:5">
      <c r="A934" s="43" t="s">
        <v>45</v>
      </c>
      <c r="B934" s="44">
        <v>1166761.5</v>
      </c>
      <c r="C934" s="44">
        <v>1117023.53</v>
      </c>
      <c r="D934" s="45">
        <v>192758.55</v>
      </c>
      <c r="E934" s="46">
        <f>C934/B934*100</f>
        <v>95.737091942097848</v>
      </c>
    </row>
    <row r="935" spans="1:5">
      <c r="A935" s="54" t="s">
        <v>152</v>
      </c>
      <c r="B935" s="54"/>
      <c r="C935" s="54"/>
      <c r="D935" s="54"/>
      <c r="E935" s="39"/>
    </row>
    <row r="936" spans="1:5">
      <c r="A936" s="40" t="s">
        <v>35</v>
      </c>
      <c r="B936" s="41">
        <v>0</v>
      </c>
      <c r="C936" s="41">
        <v>0</v>
      </c>
      <c r="D936" s="42">
        <v>0</v>
      </c>
      <c r="E936" s="39"/>
    </row>
    <row r="937" spans="1:5">
      <c r="A937" s="40" t="s">
        <v>50</v>
      </c>
      <c r="B937" s="41">
        <v>32733.24</v>
      </c>
      <c r="C937" s="41">
        <v>30537.73</v>
      </c>
      <c r="D937" s="42">
        <v>8892.09</v>
      </c>
      <c r="E937" s="39">
        <f>C937/B937*100</f>
        <v>93.292720182908866</v>
      </c>
    </row>
    <row r="938" spans="1:5">
      <c r="A938" s="40" t="s">
        <v>32</v>
      </c>
      <c r="B938" s="41">
        <v>73142.34</v>
      </c>
      <c r="C938" s="41">
        <v>75897.899999999994</v>
      </c>
      <c r="D938" s="42">
        <v>15946.01</v>
      </c>
      <c r="E938" s="39">
        <f>C938/B938*100</f>
        <v>103.76739382415165</v>
      </c>
    </row>
    <row r="939" spans="1:5">
      <c r="A939" s="40" t="s">
        <v>34</v>
      </c>
      <c r="B939" s="41">
        <v>0</v>
      </c>
      <c r="C939" s="41">
        <v>7417.63</v>
      </c>
      <c r="D939" s="42">
        <v>89715.8</v>
      </c>
      <c r="E939" s="39"/>
    </row>
    <row r="940" spans="1:5">
      <c r="A940" s="40" t="s">
        <v>36</v>
      </c>
      <c r="B940" s="41">
        <v>87144.78</v>
      </c>
      <c r="C940" s="41">
        <v>91617.55</v>
      </c>
      <c r="D940" s="42">
        <v>19095.849999999999</v>
      </c>
      <c r="E940" s="39">
        <f>C940/B940*100</f>
        <v>105.13257363206378</v>
      </c>
    </row>
    <row r="941" spans="1:5">
      <c r="A941" s="40" t="s">
        <v>39</v>
      </c>
      <c r="B941" s="41">
        <v>36650.69</v>
      </c>
      <c r="C941" s="41">
        <v>37947.410000000003</v>
      </c>
      <c r="D941" s="42">
        <v>7953.88</v>
      </c>
      <c r="E941" s="39">
        <f>C941/B941*100</f>
        <v>103.53805071609838</v>
      </c>
    </row>
    <row r="942" spans="1:5">
      <c r="A942" s="40" t="s">
        <v>43</v>
      </c>
      <c r="B942" s="41">
        <v>32187.69</v>
      </c>
      <c r="C942" s="41">
        <v>29519.03</v>
      </c>
      <c r="D942" s="42">
        <v>7572.05</v>
      </c>
      <c r="E942" s="39">
        <f>C942/B942*100</f>
        <v>91.709066416384644</v>
      </c>
    </row>
    <row r="943" spans="1:5">
      <c r="A943" s="40" t="s">
        <v>41</v>
      </c>
      <c r="B943" s="41">
        <v>71447.98</v>
      </c>
      <c r="C943" s="41">
        <v>66889.81</v>
      </c>
      <c r="D943" s="42">
        <v>18910.12</v>
      </c>
      <c r="E943" s="39">
        <f>C943/B943*100</f>
        <v>93.620295493308561</v>
      </c>
    </row>
    <row r="944" spans="1:5">
      <c r="A944" s="40" t="s">
        <v>55</v>
      </c>
      <c r="B944" s="41">
        <v>0</v>
      </c>
      <c r="C944" s="41">
        <v>-210.77</v>
      </c>
      <c r="D944" s="42">
        <v>0</v>
      </c>
      <c r="E944" s="39"/>
    </row>
    <row r="945" spans="1:5">
      <c r="A945" s="40" t="s">
        <v>37</v>
      </c>
      <c r="B945" s="41">
        <v>41279.46</v>
      </c>
      <c r="C945" s="41">
        <v>38215.440000000002</v>
      </c>
      <c r="D945" s="42">
        <v>11852.59</v>
      </c>
      <c r="E945" s="39">
        <f>C945/B945*100</f>
        <v>92.577373831925129</v>
      </c>
    </row>
    <row r="946" spans="1:5">
      <c r="A946" s="40" t="s">
        <v>38</v>
      </c>
      <c r="B946" s="41">
        <v>5107.93</v>
      </c>
      <c r="C946" s="41">
        <v>4695.59</v>
      </c>
      <c r="D946" s="42">
        <v>1184.83</v>
      </c>
      <c r="E946" s="39">
        <f>C946/B946*100</f>
        <v>91.927453978421781</v>
      </c>
    </row>
    <row r="947" spans="1:5">
      <c r="A947" s="40" t="s">
        <v>33</v>
      </c>
      <c r="B947" s="41">
        <v>91387.63</v>
      </c>
      <c r="C947" s="41">
        <v>95069.39</v>
      </c>
      <c r="D947" s="42">
        <v>19975.05</v>
      </c>
      <c r="E947" s="39">
        <f>C947/B947*100</f>
        <v>104.02872905227983</v>
      </c>
    </row>
    <row r="948" spans="1:5">
      <c r="A948" s="40" t="s">
        <v>44</v>
      </c>
      <c r="B948" s="41">
        <v>0</v>
      </c>
      <c r="C948" s="41">
        <v>-28798.69</v>
      </c>
      <c r="D948" s="42">
        <v>1782.4</v>
      </c>
      <c r="E948" s="39"/>
    </row>
    <row r="949" spans="1:5">
      <c r="A949" s="40" t="s">
        <v>47</v>
      </c>
      <c r="B949" s="41">
        <v>14440</v>
      </c>
      <c r="C949" s="41">
        <v>1650.47</v>
      </c>
      <c r="D949" s="42">
        <v>1712.8</v>
      </c>
      <c r="E949" s="39">
        <f t="shared" ref="E949:E955" si="41">C949/B949*100</f>
        <v>11.429847645429362</v>
      </c>
    </row>
    <row r="950" spans="1:5">
      <c r="A950" s="40" t="s">
        <v>53</v>
      </c>
      <c r="B950" s="41">
        <v>-29975.21</v>
      </c>
      <c r="C950" s="41">
        <v>-39693.15</v>
      </c>
      <c r="D950" s="42">
        <v>274.38</v>
      </c>
      <c r="E950" s="39">
        <f t="shared" si="41"/>
        <v>132.41992299636934</v>
      </c>
    </row>
    <row r="951" spans="1:5">
      <c r="A951" s="40" t="s">
        <v>51</v>
      </c>
      <c r="B951" s="41">
        <v>210795.92</v>
      </c>
      <c r="C951" s="41">
        <v>233925.11</v>
      </c>
      <c r="D951" s="42">
        <v>18329.64</v>
      </c>
      <c r="E951" s="39">
        <f t="shared" si="41"/>
        <v>110.97231388539208</v>
      </c>
    </row>
    <row r="952" spans="1:5">
      <c r="A952" s="40" t="s">
        <v>40</v>
      </c>
      <c r="B952" s="41">
        <v>21234.720000000001</v>
      </c>
      <c r="C952" s="41">
        <v>19917.71</v>
      </c>
      <c r="D952" s="42">
        <v>5131.74</v>
      </c>
      <c r="E952" s="39">
        <f t="shared" si="41"/>
        <v>93.797846168915797</v>
      </c>
    </row>
    <row r="953" spans="1:5">
      <c r="A953" s="40" t="s">
        <v>46</v>
      </c>
      <c r="B953" s="41">
        <v>397252.13</v>
      </c>
      <c r="C953" s="41">
        <v>371856.89</v>
      </c>
      <c r="D953" s="42">
        <v>109380.49</v>
      </c>
      <c r="E953" s="39">
        <f t="shared" si="41"/>
        <v>93.607274050361923</v>
      </c>
    </row>
    <row r="954" spans="1:5">
      <c r="A954" s="40" t="s">
        <v>42</v>
      </c>
      <c r="B954" s="41">
        <v>66811.679999999993</v>
      </c>
      <c r="C954" s="41">
        <v>60450.74</v>
      </c>
      <c r="D954" s="42">
        <v>15029.51</v>
      </c>
      <c r="E954" s="39">
        <f t="shared" si="41"/>
        <v>90.47929942788447</v>
      </c>
    </row>
    <row r="955" spans="1:5">
      <c r="A955" s="43" t="s">
        <v>45</v>
      </c>
      <c r="B955" s="44">
        <v>1151640.98</v>
      </c>
      <c r="C955" s="44">
        <v>1096905.79</v>
      </c>
      <c r="D955" s="45">
        <v>352739.23</v>
      </c>
      <c r="E955" s="46">
        <f t="shared" si="41"/>
        <v>95.247200216859255</v>
      </c>
    </row>
    <row r="956" spans="1:5">
      <c r="A956" s="54" t="s">
        <v>153</v>
      </c>
      <c r="B956" s="54"/>
      <c r="C956" s="54"/>
      <c r="D956" s="54"/>
      <c r="E956" s="39"/>
    </row>
    <row r="957" spans="1:5">
      <c r="A957" s="40" t="s">
        <v>42</v>
      </c>
      <c r="B957" s="41">
        <v>131023.8</v>
      </c>
      <c r="C957" s="41">
        <v>126926.51</v>
      </c>
      <c r="D957" s="42">
        <v>18915.759999999998</v>
      </c>
      <c r="E957" s="39">
        <f>C957/B957*100</f>
        <v>96.8728658457471</v>
      </c>
    </row>
    <row r="958" spans="1:5">
      <c r="A958" s="40" t="s">
        <v>51</v>
      </c>
      <c r="B958" s="41">
        <v>222494.8</v>
      </c>
      <c r="C958" s="41">
        <v>213460.32</v>
      </c>
      <c r="D958" s="42">
        <v>44455.839999999997</v>
      </c>
      <c r="E958" s="39">
        <f>C958/B958*100</f>
        <v>95.939464652657051</v>
      </c>
    </row>
    <row r="959" spans="1:5">
      <c r="A959" s="40" t="s">
        <v>37</v>
      </c>
      <c r="B959" s="41">
        <v>48923.79</v>
      </c>
      <c r="C959" s="41">
        <v>51385.59</v>
      </c>
      <c r="D959" s="42">
        <v>5161.29</v>
      </c>
      <c r="E959" s="39">
        <f>C959/B959*100</f>
        <v>105.03190778964589</v>
      </c>
    </row>
    <row r="960" spans="1:5">
      <c r="A960" s="40" t="s">
        <v>35</v>
      </c>
      <c r="B960" s="41">
        <v>0</v>
      </c>
      <c r="C960" s="41">
        <v>0</v>
      </c>
      <c r="D960" s="42">
        <v>0</v>
      </c>
      <c r="E960" s="39"/>
    </row>
    <row r="961" spans="1:5">
      <c r="A961" s="40" t="s">
        <v>46</v>
      </c>
      <c r="B961" s="41">
        <v>499612.49</v>
      </c>
      <c r="C961" s="41">
        <v>470945.3</v>
      </c>
      <c r="D961" s="42">
        <v>112965.41</v>
      </c>
      <c r="E961" s="39">
        <f>C961/B961*100</f>
        <v>94.26211502438619</v>
      </c>
    </row>
    <row r="962" spans="1:5">
      <c r="A962" s="40" t="s">
        <v>41</v>
      </c>
      <c r="B962" s="41">
        <v>78136.77</v>
      </c>
      <c r="C962" s="41">
        <v>76585.95</v>
      </c>
      <c r="D962" s="42">
        <v>13919.53</v>
      </c>
      <c r="E962" s="39">
        <f>C962/B962*100</f>
        <v>98.015249414584176</v>
      </c>
    </row>
    <row r="963" spans="1:5">
      <c r="A963" s="40" t="s">
        <v>34</v>
      </c>
      <c r="B963" s="41">
        <v>0</v>
      </c>
      <c r="C963" s="41">
        <v>2543.21</v>
      </c>
      <c r="D963" s="42">
        <v>52021.599999999999</v>
      </c>
      <c r="E963" s="39"/>
    </row>
    <row r="964" spans="1:5">
      <c r="A964" s="40" t="s">
        <v>52</v>
      </c>
      <c r="B964" s="41">
        <v>-2197.2399999999998</v>
      </c>
      <c r="C964" s="41">
        <v>-3403.32</v>
      </c>
      <c r="D964" s="42">
        <v>-197.81</v>
      </c>
      <c r="E964" s="39">
        <f t="shared" ref="E964:E972" si="42">C964/B964*100</f>
        <v>154.89068103620909</v>
      </c>
    </row>
    <row r="965" spans="1:5">
      <c r="A965" s="40" t="s">
        <v>50</v>
      </c>
      <c r="B965" s="41">
        <v>32063.4</v>
      </c>
      <c r="C965" s="41">
        <v>31117.25</v>
      </c>
      <c r="D965" s="42">
        <v>5801.45</v>
      </c>
      <c r="E965" s="39">
        <f t="shared" si="42"/>
        <v>97.049127665812108</v>
      </c>
    </row>
    <row r="966" spans="1:5">
      <c r="A966" s="40" t="s">
        <v>135</v>
      </c>
      <c r="B966" s="41">
        <v>49686.28</v>
      </c>
      <c r="C966" s="41">
        <v>42394.65</v>
      </c>
      <c r="D966" s="42">
        <v>8773.27</v>
      </c>
      <c r="E966" s="39">
        <f t="shared" si="42"/>
        <v>85.324661053312909</v>
      </c>
    </row>
    <row r="967" spans="1:5">
      <c r="A967" s="40" t="s">
        <v>43</v>
      </c>
      <c r="B967" s="41">
        <v>29907.95</v>
      </c>
      <c r="C967" s="41">
        <v>27116.37</v>
      </c>
      <c r="D967" s="42">
        <v>3021.13</v>
      </c>
      <c r="E967" s="39">
        <f t="shared" si="42"/>
        <v>90.666093797802915</v>
      </c>
    </row>
    <row r="968" spans="1:5">
      <c r="A968" s="40" t="s">
        <v>38</v>
      </c>
      <c r="B968" s="41">
        <v>4749.3599999999997</v>
      </c>
      <c r="C968" s="41">
        <v>4342.54</v>
      </c>
      <c r="D968" s="42">
        <v>608.79999999999995</v>
      </c>
      <c r="E968" s="39">
        <f t="shared" si="42"/>
        <v>91.434214294136467</v>
      </c>
    </row>
    <row r="969" spans="1:5">
      <c r="A969" s="40" t="s">
        <v>36</v>
      </c>
      <c r="B969" s="41">
        <v>129681.84</v>
      </c>
      <c r="C969" s="41">
        <v>144758.67000000001</v>
      </c>
      <c r="D969" s="42">
        <v>18467.939999999999</v>
      </c>
      <c r="E969" s="39">
        <f t="shared" si="42"/>
        <v>111.62601486838868</v>
      </c>
    </row>
    <row r="970" spans="1:5">
      <c r="A970" s="40" t="s">
        <v>39</v>
      </c>
      <c r="B970" s="41">
        <v>54540.78</v>
      </c>
      <c r="C970" s="41">
        <v>60440.73</v>
      </c>
      <c r="D970" s="42">
        <v>7699</v>
      </c>
      <c r="E970" s="39">
        <f t="shared" si="42"/>
        <v>110.81750205992655</v>
      </c>
    </row>
    <row r="971" spans="1:5">
      <c r="A971" s="40" t="s">
        <v>32</v>
      </c>
      <c r="B971" s="41">
        <v>108844.68</v>
      </c>
      <c r="C971" s="41">
        <v>120400.59</v>
      </c>
      <c r="D971" s="42">
        <v>15438.76</v>
      </c>
      <c r="E971" s="39">
        <f t="shared" si="42"/>
        <v>110.61688086179315</v>
      </c>
    </row>
    <row r="972" spans="1:5">
      <c r="A972" s="40" t="s">
        <v>33</v>
      </c>
      <c r="B972" s="41">
        <v>135996.24</v>
      </c>
      <c r="C972" s="41">
        <v>150678.15</v>
      </c>
      <c r="D972" s="42">
        <v>19335.04</v>
      </c>
      <c r="E972" s="39">
        <f t="shared" si="42"/>
        <v>110.79582053150882</v>
      </c>
    </row>
    <row r="973" spans="1:5">
      <c r="A973" s="40" t="s">
        <v>44</v>
      </c>
      <c r="B973" s="41">
        <v>0</v>
      </c>
      <c r="C973" s="41">
        <v>-58483.4</v>
      </c>
      <c r="D973" s="42">
        <v>427.2</v>
      </c>
      <c r="E973" s="39"/>
    </row>
    <row r="974" spans="1:5">
      <c r="A974" s="40" t="s">
        <v>47</v>
      </c>
      <c r="B974" s="41">
        <v>14908.2</v>
      </c>
      <c r="C974" s="41">
        <v>485.18</v>
      </c>
      <c r="D974" s="42">
        <v>2533</v>
      </c>
      <c r="E974" s="39">
        <f>C974/B974*100</f>
        <v>3.2544505708267932</v>
      </c>
    </row>
    <row r="975" spans="1:5">
      <c r="A975" s="40" t="s">
        <v>53</v>
      </c>
      <c r="B975" s="41">
        <v>2453.6799999999998</v>
      </c>
      <c r="C975" s="41">
        <v>2553.65</v>
      </c>
      <c r="D975" s="42">
        <v>511.46</v>
      </c>
      <c r="E975" s="39">
        <f>C975/B975*100</f>
        <v>104.07428841576736</v>
      </c>
    </row>
    <row r="976" spans="1:5">
      <c r="A976" s="43" t="s">
        <v>45</v>
      </c>
      <c r="B976" s="44">
        <v>1540826.82</v>
      </c>
      <c r="C976" s="44">
        <v>1464247.94</v>
      </c>
      <c r="D976" s="45">
        <v>329858.67</v>
      </c>
      <c r="E976" s="46">
        <f>C976/B976*100</f>
        <v>95.030013820761496</v>
      </c>
    </row>
    <row r="977" spans="1:5">
      <c r="A977" s="54" t="s">
        <v>56</v>
      </c>
      <c r="B977" s="54"/>
      <c r="C977" s="54"/>
      <c r="D977" s="54"/>
      <c r="E977" s="39"/>
    </row>
    <row r="978" spans="1:5">
      <c r="A978" s="40" t="s">
        <v>53</v>
      </c>
      <c r="B978" s="41">
        <v>-72054.39</v>
      </c>
      <c r="C978" s="41">
        <v>-101105.5</v>
      </c>
      <c r="D978" s="42">
        <v>0</v>
      </c>
      <c r="E978" s="39">
        <f>C978/B978*100</f>
        <v>140.31830676798458</v>
      </c>
    </row>
    <row r="979" spans="1:5">
      <c r="A979" s="40" t="s">
        <v>44</v>
      </c>
      <c r="B979" s="41">
        <v>0</v>
      </c>
      <c r="C979" s="41">
        <v>-18910.32</v>
      </c>
      <c r="D979" s="42">
        <v>3963.6</v>
      </c>
      <c r="E979" s="39"/>
    </row>
    <row r="980" spans="1:5">
      <c r="A980" s="40" t="s">
        <v>51</v>
      </c>
      <c r="B980" s="41">
        <v>229193.72</v>
      </c>
      <c r="C980" s="41">
        <v>327039.84999999998</v>
      </c>
      <c r="D980" s="42">
        <v>1198.76</v>
      </c>
      <c r="E980" s="39">
        <f>C980/B980*100</f>
        <v>142.69145332603352</v>
      </c>
    </row>
    <row r="981" spans="1:5">
      <c r="A981" s="40" t="s">
        <v>42</v>
      </c>
      <c r="B981" s="41">
        <v>59192.28</v>
      </c>
      <c r="C981" s="41">
        <v>53738.94</v>
      </c>
      <c r="D981" s="42">
        <v>17725.88</v>
      </c>
      <c r="E981" s="39">
        <f>C981/B981*100</f>
        <v>90.787075611887232</v>
      </c>
    </row>
    <row r="982" spans="1:5">
      <c r="A982" s="40" t="s">
        <v>40</v>
      </c>
      <c r="B982" s="41">
        <v>14052.44</v>
      </c>
      <c r="C982" s="41">
        <v>10646.5</v>
      </c>
      <c r="D982" s="42">
        <v>12210.99</v>
      </c>
      <c r="E982" s="39">
        <f>C982/B982*100</f>
        <v>75.762643355886951</v>
      </c>
    </row>
    <row r="983" spans="1:5">
      <c r="A983" s="40" t="s">
        <v>39</v>
      </c>
      <c r="B983" s="41">
        <v>0</v>
      </c>
      <c r="C983" s="41">
        <v>864.14</v>
      </c>
      <c r="D983" s="42">
        <v>-1996.71</v>
      </c>
      <c r="E983" s="39"/>
    </row>
    <row r="984" spans="1:5">
      <c r="A984" s="40" t="s">
        <v>135</v>
      </c>
      <c r="B984" s="41">
        <v>0</v>
      </c>
      <c r="C984" s="41">
        <v>4746.33</v>
      </c>
      <c r="D984" s="42">
        <v>1550.59</v>
      </c>
      <c r="E984" s="39"/>
    </row>
    <row r="985" spans="1:5">
      <c r="A985" s="40" t="s">
        <v>33</v>
      </c>
      <c r="B985" s="41">
        <v>76024.23</v>
      </c>
      <c r="C985" s="41">
        <v>74475.59</v>
      </c>
      <c r="D985" s="42">
        <v>29968.73</v>
      </c>
      <c r="E985" s="39">
        <f>C985/B985*100</f>
        <v>97.962965228322602</v>
      </c>
    </row>
    <row r="986" spans="1:5">
      <c r="A986" s="40" t="s">
        <v>43</v>
      </c>
      <c r="B986" s="41">
        <v>31587.15</v>
      </c>
      <c r="C986" s="41">
        <v>30298.25</v>
      </c>
      <c r="D986" s="42">
        <v>13521.75</v>
      </c>
      <c r="E986" s="39">
        <f>C986/B986*100</f>
        <v>95.919543231978821</v>
      </c>
    </row>
    <row r="987" spans="1:5">
      <c r="A987" s="40" t="s">
        <v>38</v>
      </c>
      <c r="B987" s="41">
        <v>5016.63</v>
      </c>
      <c r="C987" s="41">
        <v>4776.79</v>
      </c>
      <c r="D987" s="42">
        <v>2115.91</v>
      </c>
      <c r="E987" s="39">
        <f>C987/B987*100</f>
        <v>95.219101269178708</v>
      </c>
    </row>
    <row r="988" spans="1:5">
      <c r="A988" s="40" t="s">
        <v>35</v>
      </c>
      <c r="B988" s="41">
        <v>401618.63</v>
      </c>
      <c r="C988" s="41">
        <v>339123.02</v>
      </c>
      <c r="D988" s="42">
        <v>181197.73</v>
      </c>
      <c r="E988" s="39">
        <f>C988/B988*100</f>
        <v>84.439065986555462</v>
      </c>
    </row>
    <row r="989" spans="1:5">
      <c r="A989" s="40" t="s">
        <v>47</v>
      </c>
      <c r="B989" s="41">
        <v>9300.93</v>
      </c>
      <c r="C989" s="41">
        <v>458.4</v>
      </c>
      <c r="D989" s="42">
        <v>1324</v>
      </c>
      <c r="E989" s="39">
        <f>C989/B989*100</f>
        <v>4.9285394041241037</v>
      </c>
    </row>
    <row r="990" spans="1:5">
      <c r="A990" s="40" t="s">
        <v>54</v>
      </c>
      <c r="B990" s="41">
        <v>0</v>
      </c>
      <c r="C990" s="41">
        <v>180.98</v>
      </c>
      <c r="D990" s="42">
        <v>0</v>
      </c>
      <c r="E990" s="39"/>
    </row>
    <row r="991" spans="1:5">
      <c r="A991" s="40" t="s">
        <v>41</v>
      </c>
      <c r="B991" s="41">
        <v>68292.7</v>
      </c>
      <c r="C991" s="41">
        <v>75281.179999999993</v>
      </c>
      <c r="D991" s="42">
        <v>24894.54</v>
      </c>
      <c r="E991" s="39">
        <f>C991/B991*100</f>
        <v>110.23312887028919</v>
      </c>
    </row>
    <row r="992" spans="1:5">
      <c r="A992" s="40" t="s">
        <v>32</v>
      </c>
      <c r="B992" s="41">
        <v>60846.11</v>
      </c>
      <c r="C992" s="41">
        <v>59446.55</v>
      </c>
      <c r="D992" s="42">
        <v>23914.49</v>
      </c>
      <c r="E992" s="39">
        <f>C992/B992*100</f>
        <v>97.699836522006095</v>
      </c>
    </row>
    <row r="993" spans="1:5">
      <c r="A993" s="40" t="s">
        <v>37</v>
      </c>
      <c r="B993" s="41">
        <v>41803.660000000003</v>
      </c>
      <c r="C993" s="41">
        <v>55303.41</v>
      </c>
      <c r="D993" s="42">
        <v>5467.84</v>
      </c>
      <c r="E993" s="39">
        <f>C993/B993*100</f>
        <v>132.29322504297468</v>
      </c>
    </row>
    <row r="994" spans="1:5">
      <c r="A994" s="40" t="s">
        <v>36</v>
      </c>
      <c r="B994" s="41">
        <v>72494.22</v>
      </c>
      <c r="C994" s="41">
        <v>71550.17</v>
      </c>
      <c r="D994" s="42">
        <v>28658.83</v>
      </c>
      <c r="E994" s="39">
        <f>C994/B994*100</f>
        <v>98.697758248864531</v>
      </c>
    </row>
    <row r="995" spans="1:5">
      <c r="A995" s="40" t="s">
        <v>34</v>
      </c>
      <c r="B995" s="41">
        <v>0</v>
      </c>
      <c r="C995" s="41">
        <v>228576.24</v>
      </c>
      <c r="D995" s="42">
        <v>374425.75</v>
      </c>
      <c r="E995" s="39"/>
    </row>
    <row r="996" spans="1:5">
      <c r="A996" s="40" t="s">
        <v>50</v>
      </c>
      <c r="B996" s="41">
        <v>28980.36</v>
      </c>
      <c r="C996" s="41">
        <v>31997.200000000001</v>
      </c>
      <c r="D996" s="42">
        <v>11454.4</v>
      </c>
      <c r="E996" s="39">
        <f>C996/B996*100</f>
        <v>110.40994659831694</v>
      </c>
    </row>
    <row r="997" spans="1:5">
      <c r="A997" s="40" t="s">
        <v>52</v>
      </c>
      <c r="B997" s="41">
        <v>-7842.02</v>
      </c>
      <c r="C997" s="41">
        <v>-10359.370000000001</v>
      </c>
      <c r="D997" s="42">
        <v>22.88</v>
      </c>
      <c r="E997" s="39">
        <f>C997/B997*100</f>
        <v>132.10078525685984</v>
      </c>
    </row>
    <row r="998" spans="1:5">
      <c r="A998" s="43" t="s">
        <v>45</v>
      </c>
      <c r="B998" s="44">
        <v>1018506.65</v>
      </c>
      <c r="C998" s="44">
        <v>1238128.3500000001</v>
      </c>
      <c r="D998" s="45">
        <v>731619.96</v>
      </c>
      <c r="E998" s="46">
        <f>C998/B998*100</f>
        <v>121.56310908721117</v>
      </c>
    </row>
    <row r="999" spans="1:5">
      <c r="A999" s="54" t="s">
        <v>57</v>
      </c>
      <c r="B999" s="54"/>
      <c r="C999" s="54"/>
      <c r="D999" s="54"/>
      <c r="E999" s="39"/>
    </row>
    <row r="1000" spans="1:5">
      <c r="A1000" s="40" t="s">
        <v>36</v>
      </c>
      <c r="B1000" s="41">
        <v>72042.3</v>
      </c>
      <c r="C1000" s="41">
        <v>81215.16</v>
      </c>
      <c r="D1000" s="42">
        <v>17238.61</v>
      </c>
      <c r="E1000" s="39">
        <f>C1000/B1000*100</f>
        <v>112.73260292911249</v>
      </c>
    </row>
    <row r="1001" spans="1:5">
      <c r="A1001" s="40" t="s">
        <v>50</v>
      </c>
      <c r="B1001" s="41">
        <v>26118.84</v>
      </c>
      <c r="C1001" s="41">
        <v>26774.42</v>
      </c>
      <c r="D1001" s="42">
        <v>10091.049999999999</v>
      </c>
      <c r="E1001" s="39">
        <f>C1001/B1001*100</f>
        <v>102.50998895816198</v>
      </c>
    </row>
    <row r="1002" spans="1:5">
      <c r="A1002" s="40" t="s">
        <v>32</v>
      </c>
      <c r="B1002" s="41">
        <v>60466.58</v>
      </c>
      <c r="C1002" s="41">
        <v>67880.19</v>
      </c>
      <c r="D1002" s="42">
        <v>14245.28</v>
      </c>
      <c r="E1002" s="39">
        <f>C1002/B1002*100</f>
        <v>112.26067358200183</v>
      </c>
    </row>
    <row r="1003" spans="1:5">
      <c r="A1003" s="40" t="s">
        <v>51</v>
      </c>
      <c r="B1003" s="41">
        <v>145156.07</v>
      </c>
      <c r="C1003" s="41">
        <v>149802.91</v>
      </c>
      <c r="D1003" s="42">
        <v>56094.3</v>
      </c>
      <c r="E1003" s="39">
        <f>C1003/B1003*100</f>
        <v>103.201271569284</v>
      </c>
    </row>
    <row r="1004" spans="1:5">
      <c r="A1004" s="40" t="s">
        <v>43</v>
      </c>
      <c r="B1004" s="41">
        <v>33934.639999999999</v>
      </c>
      <c r="C1004" s="41">
        <v>30592.43</v>
      </c>
      <c r="D1004" s="42">
        <v>14087.55</v>
      </c>
      <c r="E1004" s="39">
        <f>C1004/B1004*100</f>
        <v>90.151037406025239</v>
      </c>
    </row>
    <row r="1005" spans="1:5">
      <c r="A1005" s="40" t="s">
        <v>39</v>
      </c>
      <c r="B1005" s="41">
        <v>0</v>
      </c>
      <c r="C1005" s="41">
        <v>938.01</v>
      </c>
      <c r="D1005" s="42">
        <v>-2082.7600000000002</v>
      </c>
      <c r="E1005" s="39"/>
    </row>
    <row r="1006" spans="1:5">
      <c r="A1006" s="40" t="s">
        <v>40</v>
      </c>
      <c r="B1006" s="41">
        <v>29222.639999999999</v>
      </c>
      <c r="C1006" s="41">
        <v>24952.28</v>
      </c>
      <c r="D1006" s="42">
        <v>15724.37</v>
      </c>
      <c r="E1006" s="39">
        <f>C1006/B1006*100</f>
        <v>85.386809679070737</v>
      </c>
    </row>
    <row r="1007" spans="1:5">
      <c r="A1007" s="40" t="s">
        <v>38</v>
      </c>
      <c r="B1007" s="41">
        <v>5388.91</v>
      </c>
      <c r="C1007" s="41">
        <v>4850.1400000000003</v>
      </c>
      <c r="D1007" s="42">
        <v>2200.08</v>
      </c>
      <c r="E1007" s="39">
        <f>C1007/B1007*100</f>
        <v>90.002245352028538</v>
      </c>
    </row>
    <row r="1008" spans="1:5">
      <c r="A1008" s="40" t="s">
        <v>35</v>
      </c>
      <c r="B1008" s="41">
        <v>399113.16</v>
      </c>
      <c r="C1008" s="41">
        <v>380743.43</v>
      </c>
      <c r="D1008" s="42">
        <v>106372.41</v>
      </c>
      <c r="E1008" s="39">
        <f>C1008/B1008*100</f>
        <v>95.397362993492877</v>
      </c>
    </row>
    <row r="1009" spans="1:5">
      <c r="A1009" s="40" t="s">
        <v>44</v>
      </c>
      <c r="B1009" s="41">
        <v>0</v>
      </c>
      <c r="C1009" s="41">
        <v>-25227.01</v>
      </c>
      <c r="D1009" s="42">
        <v>2942.54</v>
      </c>
      <c r="E1009" s="39"/>
    </row>
    <row r="1010" spans="1:5">
      <c r="A1010" s="40" t="s">
        <v>33</v>
      </c>
      <c r="B1010" s="41">
        <v>75550</v>
      </c>
      <c r="C1010" s="41">
        <v>84806.5</v>
      </c>
      <c r="D1010" s="42">
        <v>18059.8</v>
      </c>
      <c r="E1010" s="39">
        <f>C1010/B1010*100</f>
        <v>112.25215089344805</v>
      </c>
    </row>
    <row r="1011" spans="1:5">
      <c r="A1011" s="40" t="s">
        <v>34</v>
      </c>
      <c r="B1011" s="41">
        <v>0</v>
      </c>
      <c r="C1011" s="41">
        <v>114446.5</v>
      </c>
      <c r="D1011" s="42">
        <v>259269.47</v>
      </c>
      <c r="E1011" s="39"/>
    </row>
    <row r="1012" spans="1:5">
      <c r="A1012" s="40" t="s">
        <v>41</v>
      </c>
      <c r="B1012" s="41">
        <v>62713.33</v>
      </c>
      <c r="C1012" s="41">
        <v>65278.92</v>
      </c>
      <c r="D1012" s="42">
        <v>23836.9</v>
      </c>
      <c r="E1012" s="39">
        <f>C1012/B1012*100</f>
        <v>104.09098033862976</v>
      </c>
    </row>
    <row r="1013" spans="1:5">
      <c r="A1013" s="40" t="s">
        <v>47</v>
      </c>
      <c r="B1013" s="41">
        <v>9360.7999999999993</v>
      </c>
      <c r="C1013" s="41">
        <v>414</v>
      </c>
      <c r="D1013" s="42">
        <v>1461.6</v>
      </c>
      <c r="E1013" s="39">
        <f>C1013/B1013*100</f>
        <v>4.4226989146226821</v>
      </c>
    </row>
    <row r="1014" spans="1:5">
      <c r="A1014" s="40" t="s">
        <v>42</v>
      </c>
      <c r="B1014" s="41">
        <v>43565.04</v>
      </c>
      <c r="C1014" s="41">
        <v>44651.57</v>
      </c>
      <c r="D1014" s="42">
        <v>3800.71</v>
      </c>
      <c r="E1014" s="39">
        <f>C1014/B1014*100</f>
        <v>102.49404109350067</v>
      </c>
    </row>
    <row r="1015" spans="1:5">
      <c r="A1015" s="40" t="s">
        <v>37</v>
      </c>
      <c r="B1015" s="41">
        <v>38858.660000000003</v>
      </c>
      <c r="C1015" s="41">
        <v>40950.99</v>
      </c>
      <c r="D1015" s="42">
        <v>14628.89</v>
      </c>
      <c r="E1015" s="39">
        <f>C1015/B1015*100</f>
        <v>105.38446256252787</v>
      </c>
    </row>
    <row r="1016" spans="1:5">
      <c r="A1016" s="43" t="s">
        <v>45</v>
      </c>
      <c r="B1016" s="44">
        <v>1001490.97</v>
      </c>
      <c r="C1016" s="44">
        <v>1093070.44</v>
      </c>
      <c r="D1016" s="45">
        <v>557970.80000000005</v>
      </c>
      <c r="E1016" s="46">
        <f>C1016/B1016*100</f>
        <v>109.14431310349208</v>
      </c>
    </row>
    <row r="1017" spans="1:5">
      <c r="A1017" s="54" t="s">
        <v>58</v>
      </c>
      <c r="B1017" s="54"/>
      <c r="C1017" s="54"/>
      <c r="D1017" s="54"/>
      <c r="E1017" s="39"/>
    </row>
    <row r="1018" spans="1:5">
      <c r="A1018" s="40" t="s">
        <v>44</v>
      </c>
      <c r="B1018" s="41">
        <v>0</v>
      </c>
      <c r="C1018" s="41">
        <v>-16619.87</v>
      </c>
      <c r="D1018" s="42">
        <v>2016.08</v>
      </c>
      <c r="E1018" s="39"/>
    </row>
    <row r="1019" spans="1:5">
      <c r="A1019" s="40" t="s">
        <v>40</v>
      </c>
      <c r="B1019" s="41">
        <v>9661.2000000000007</v>
      </c>
      <c r="C1019" s="41">
        <v>4565.92</v>
      </c>
      <c r="D1019" s="42">
        <v>10314.77</v>
      </c>
      <c r="E1019" s="39">
        <f t="shared" ref="E1019:E1028" si="43">C1019/B1019*100</f>
        <v>47.260381733118031</v>
      </c>
    </row>
    <row r="1020" spans="1:5">
      <c r="A1020" s="40" t="s">
        <v>32</v>
      </c>
      <c r="B1020" s="41">
        <v>48080.4</v>
      </c>
      <c r="C1020" s="41">
        <v>50723.97</v>
      </c>
      <c r="D1020" s="42">
        <v>13480.39</v>
      </c>
      <c r="E1020" s="39">
        <f t="shared" si="43"/>
        <v>105.49822796815333</v>
      </c>
    </row>
    <row r="1021" spans="1:5">
      <c r="A1021" s="40" t="s">
        <v>33</v>
      </c>
      <c r="B1021" s="41">
        <v>60074.1</v>
      </c>
      <c r="C1021" s="41">
        <v>63476.73</v>
      </c>
      <c r="D1021" s="42">
        <v>16934.669999999998</v>
      </c>
      <c r="E1021" s="39">
        <f t="shared" si="43"/>
        <v>105.66405489220814</v>
      </c>
    </row>
    <row r="1022" spans="1:5">
      <c r="A1022" s="40" t="s">
        <v>38</v>
      </c>
      <c r="B1022" s="41">
        <v>2798.57</v>
      </c>
      <c r="C1022" s="41">
        <v>2412.09</v>
      </c>
      <c r="D1022" s="42">
        <v>993.68</v>
      </c>
      <c r="E1022" s="39">
        <f t="shared" si="43"/>
        <v>86.190089938790166</v>
      </c>
    </row>
    <row r="1023" spans="1:5">
      <c r="A1023" s="40" t="s">
        <v>35</v>
      </c>
      <c r="B1023" s="41">
        <v>317357.28000000003</v>
      </c>
      <c r="C1023" s="41">
        <v>296773.28000000003</v>
      </c>
      <c r="D1023" s="42">
        <v>94330.33</v>
      </c>
      <c r="E1023" s="39">
        <f t="shared" si="43"/>
        <v>93.513934830800167</v>
      </c>
    </row>
    <row r="1024" spans="1:5">
      <c r="A1024" s="40" t="s">
        <v>51</v>
      </c>
      <c r="B1024" s="41">
        <v>123069.75</v>
      </c>
      <c r="C1024" s="41">
        <v>99559.77</v>
      </c>
      <c r="D1024" s="42">
        <v>57585.47</v>
      </c>
      <c r="E1024" s="39">
        <f t="shared" si="43"/>
        <v>80.897027904907588</v>
      </c>
    </row>
    <row r="1025" spans="1:5">
      <c r="A1025" s="40" t="s">
        <v>42</v>
      </c>
      <c r="B1025" s="41">
        <v>48216.36</v>
      </c>
      <c r="C1025" s="41">
        <v>49579.61</v>
      </c>
      <c r="D1025" s="42">
        <v>6763.65</v>
      </c>
      <c r="E1025" s="39">
        <f t="shared" si="43"/>
        <v>102.82735984217805</v>
      </c>
    </row>
    <row r="1026" spans="1:5">
      <c r="A1026" s="40" t="s">
        <v>41</v>
      </c>
      <c r="B1026" s="41">
        <v>31773.03</v>
      </c>
      <c r="C1026" s="41">
        <v>24867.93</v>
      </c>
      <c r="D1026" s="42">
        <v>17229.689999999999</v>
      </c>
      <c r="E1026" s="39">
        <f t="shared" si="43"/>
        <v>78.267417366237979</v>
      </c>
    </row>
    <row r="1027" spans="1:5">
      <c r="A1027" s="40" t="s">
        <v>52</v>
      </c>
      <c r="B1027" s="41">
        <v>-1462.95</v>
      </c>
      <c r="C1027" s="41">
        <v>-1439.49</v>
      </c>
      <c r="D1027" s="42">
        <v>-312.33</v>
      </c>
      <c r="E1027" s="39">
        <f t="shared" si="43"/>
        <v>98.396390854096168</v>
      </c>
    </row>
    <row r="1028" spans="1:5">
      <c r="A1028" s="40" t="s">
        <v>43</v>
      </c>
      <c r="B1028" s="41">
        <v>17623.21</v>
      </c>
      <c r="C1028" s="41">
        <v>15136.42</v>
      </c>
      <c r="D1028" s="42">
        <v>6416.21</v>
      </c>
      <c r="E1028" s="39">
        <f t="shared" si="43"/>
        <v>85.889120086522269</v>
      </c>
    </row>
    <row r="1029" spans="1:5">
      <c r="A1029" s="40" t="s">
        <v>34</v>
      </c>
      <c r="B1029" s="41">
        <v>0</v>
      </c>
      <c r="C1029" s="41">
        <v>14786.78</v>
      </c>
      <c r="D1029" s="42">
        <v>377383.47</v>
      </c>
      <c r="E1029" s="39"/>
    </row>
    <row r="1030" spans="1:5">
      <c r="A1030" s="40" t="s">
        <v>39</v>
      </c>
      <c r="B1030" s="41">
        <v>0</v>
      </c>
      <c r="C1030" s="41">
        <v>626.51</v>
      </c>
      <c r="D1030" s="42">
        <v>-1603.25</v>
      </c>
      <c r="E1030" s="39"/>
    </row>
    <row r="1031" spans="1:5">
      <c r="A1031" s="40" t="s">
        <v>135</v>
      </c>
      <c r="B1031" s="41">
        <v>0</v>
      </c>
      <c r="C1031" s="41">
        <v>3173.23</v>
      </c>
      <c r="D1031" s="42">
        <v>1848.96</v>
      </c>
      <c r="E1031" s="39"/>
    </row>
    <row r="1032" spans="1:5">
      <c r="A1032" s="40" t="s">
        <v>47</v>
      </c>
      <c r="B1032" s="41">
        <v>1162.2</v>
      </c>
      <c r="C1032" s="41">
        <v>0</v>
      </c>
      <c r="D1032" s="42">
        <v>1162.2</v>
      </c>
      <c r="E1032" s="39">
        <f t="shared" ref="E1032:E1037" si="44">C1032/B1032*100</f>
        <v>0</v>
      </c>
    </row>
    <row r="1033" spans="1:5">
      <c r="A1033" s="40" t="s">
        <v>50</v>
      </c>
      <c r="B1033" s="41">
        <v>13126.76</v>
      </c>
      <c r="C1033" s="41">
        <v>9592.77</v>
      </c>
      <c r="D1033" s="42">
        <v>7925.86</v>
      </c>
      <c r="E1033" s="39">
        <f t="shared" si="44"/>
        <v>73.077972020513826</v>
      </c>
    </row>
    <row r="1034" spans="1:5">
      <c r="A1034" s="40" t="s">
        <v>36</v>
      </c>
      <c r="B1034" s="41">
        <v>57284.76</v>
      </c>
      <c r="C1034" s="41">
        <v>61241.5</v>
      </c>
      <c r="D1034" s="42">
        <v>16217.48</v>
      </c>
      <c r="E1034" s="39">
        <f t="shared" si="44"/>
        <v>106.907142493047</v>
      </c>
    </row>
    <row r="1035" spans="1:5">
      <c r="A1035" s="40" t="s">
        <v>53</v>
      </c>
      <c r="B1035" s="41">
        <v>-7633.01</v>
      </c>
      <c r="C1035" s="41">
        <v>-10998.3</v>
      </c>
      <c r="D1035" s="42">
        <v>-3.6</v>
      </c>
      <c r="E1035" s="39">
        <f t="shared" si="44"/>
        <v>144.08863606886405</v>
      </c>
    </row>
    <row r="1036" spans="1:5">
      <c r="A1036" s="40" t="s">
        <v>37</v>
      </c>
      <c r="B1036" s="41">
        <v>19789.64</v>
      </c>
      <c r="C1036" s="41">
        <v>16767.12</v>
      </c>
      <c r="D1036" s="42">
        <v>9319.81</v>
      </c>
      <c r="E1036" s="39">
        <f t="shared" si="44"/>
        <v>84.726756019816435</v>
      </c>
    </row>
    <row r="1037" spans="1:5">
      <c r="A1037" s="43" t="s">
        <v>45</v>
      </c>
      <c r="B1037" s="44">
        <v>740921.3</v>
      </c>
      <c r="C1037" s="44">
        <v>684225.97</v>
      </c>
      <c r="D1037" s="45">
        <v>638003.54</v>
      </c>
      <c r="E1037" s="46">
        <f t="shared" si="44"/>
        <v>92.347995664316841</v>
      </c>
    </row>
    <row r="1038" spans="1:5">
      <c r="A1038" s="54" t="s">
        <v>59</v>
      </c>
      <c r="B1038" s="54"/>
      <c r="C1038" s="54"/>
      <c r="D1038" s="54"/>
      <c r="E1038" s="39"/>
    </row>
    <row r="1039" spans="1:5">
      <c r="A1039" s="40" t="s">
        <v>135</v>
      </c>
      <c r="B1039" s="41">
        <v>0</v>
      </c>
      <c r="C1039" s="41">
        <v>2420.2600000000002</v>
      </c>
      <c r="D1039" s="42">
        <v>-45.3</v>
      </c>
      <c r="E1039" s="39"/>
    </row>
    <row r="1040" spans="1:5">
      <c r="A1040" s="53" t="s">
        <v>96</v>
      </c>
      <c r="B1040" s="53"/>
      <c r="C1040" s="53"/>
      <c r="D1040" s="53"/>
      <c r="E1040" s="39"/>
    </row>
    <row r="1041" spans="1:5">
      <c r="A1041" s="36" t="s">
        <v>28</v>
      </c>
      <c r="B1041" s="36" t="s">
        <v>29</v>
      </c>
      <c r="C1041" s="36" t="s">
        <v>30</v>
      </c>
      <c r="D1041" s="37" t="s">
        <v>31</v>
      </c>
      <c r="E1041" s="39"/>
    </row>
    <row r="1042" spans="1:5">
      <c r="A1042" s="40" t="s">
        <v>44</v>
      </c>
      <c r="B1042" s="41">
        <v>0</v>
      </c>
      <c r="C1042" s="41">
        <v>-21106.15</v>
      </c>
      <c r="D1042" s="42">
        <v>73.28</v>
      </c>
      <c r="E1042" s="39"/>
    </row>
    <row r="1043" spans="1:5">
      <c r="A1043" s="40" t="s">
        <v>53</v>
      </c>
      <c r="B1043" s="41">
        <v>-32852.9</v>
      </c>
      <c r="C1043" s="41">
        <v>-40116.449999999997</v>
      </c>
      <c r="D1043" s="42">
        <v>0</v>
      </c>
      <c r="E1043" s="39">
        <f>C1043/B1043*100</f>
        <v>122.10931150674674</v>
      </c>
    </row>
    <row r="1044" spans="1:5">
      <c r="A1044" s="40" t="s">
        <v>33</v>
      </c>
      <c r="B1044" s="41">
        <v>59970.8</v>
      </c>
      <c r="C1044" s="41">
        <v>65309.71</v>
      </c>
      <c r="D1044" s="42">
        <v>10905.61</v>
      </c>
      <c r="E1044" s="39">
        <f>C1044/B1044*100</f>
        <v>108.90251589106698</v>
      </c>
    </row>
    <row r="1045" spans="1:5">
      <c r="A1045" s="40" t="s">
        <v>41</v>
      </c>
      <c r="B1045" s="41">
        <v>30032.52</v>
      </c>
      <c r="C1045" s="41">
        <v>28387.43</v>
      </c>
      <c r="D1045" s="42">
        <v>5695.97</v>
      </c>
      <c r="E1045" s="39">
        <f>C1045/B1045*100</f>
        <v>94.522304488601023</v>
      </c>
    </row>
    <row r="1046" spans="1:5">
      <c r="A1046" s="40" t="s">
        <v>34</v>
      </c>
      <c r="B1046" s="41">
        <v>0</v>
      </c>
      <c r="C1046" s="41">
        <v>5516.64</v>
      </c>
      <c r="D1046" s="42">
        <v>1699.24</v>
      </c>
      <c r="E1046" s="39"/>
    </row>
    <row r="1047" spans="1:5">
      <c r="A1047" s="40" t="s">
        <v>32</v>
      </c>
      <c r="B1047" s="41">
        <v>47997.75</v>
      </c>
      <c r="C1047" s="41">
        <v>52164.26</v>
      </c>
      <c r="D1047" s="42">
        <v>8723.7900000000009</v>
      </c>
      <c r="E1047" s="39">
        <f t="shared" ref="E1047:E1052" si="45">C1047/B1047*100</f>
        <v>108.68063607148252</v>
      </c>
    </row>
    <row r="1048" spans="1:5">
      <c r="A1048" s="40" t="s">
        <v>52</v>
      </c>
      <c r="B1048" s="41">
        <v>-5516.54</v>
      </c>
      <c r="C1048" s="41">
        <v>-6859.13</v>
      </c>
      <c r="D1048" s="42">
        <v>0</v>
      </c>
      <c r="E1048" s="39">
        <f t="shared" si="45"/>
        <v>124.33753765947498</v>
      </c>
    </row>
    <row r="1049" spans="1:5">
      <c r="A1049" s="40" t="s">
        <v>47</v>
      </c>
      <c r="B1049" s="41">
        <v>1160.2</v>
      </c>
      <c r="C1049" s="41">
        <v>0</v>
      </c>
      <c r="D1049" s="42">
        <v>1160.2</v>
      </c>
      <c r="E1049" s="39">
        <f t="shared" si="45"/>
        <v>0</v>
      </c>
    </row>
    <row r="1050" spans="1:5">
      <c r="A1050" s="40" t="s">
        <v>35</v>
      </c>
      <c r="B1050" s="41">
        <v>316811.15999999997</v>
      </c>
      <c r="C1050" s="41">
        <v>309647.19</v>
      </c>
      <c r="D1050" s="42">
        <v>58027.27</v>
      </c>
      <c r="E1050" s="39">
        <f t="shared" si="45"/>
        <v>97.738725491867157</v>
      </c>
    </row>
    <row r="1051" spans="1:5">
      <c r="A1051" s="40" t="s">
        <v>42</v>
      </c>
      <c r="B1051" s="41">
        <v>35039.279999999999</v>
      </c>
      <c r="C1051" s="41">
        <v>33844.01</v>
      </c>
      <c r="D1051" s="42">
        <v>7205.37</v>
      </c>
      <c r="E1051" s="39">
        <f t="shared" si="45"/>
        <v>96.588771230459088</v>
      </c>
    </row>
    <row r="1052" spans="1:5">
      <c r="A1052" s="40" t="s">
        <v>43</v>
      </c>
      <c r="B1052" s="41">
        <v>22291.91</v>
      </c>
      <c r="C1052" s="41">
        <v>21595.95</v>
      </c>
      <c r="D1052" s="42">
        <v>3790.88</v>
      </c>
      <c r="E1052" s="39">
        <f t="shared" si="45"/>
        <v>96.877970528321711</v>
      </c>
    </row>
    <row r="1053" spans="1:5">
      <c r="A1053" s="40" t="s">
        <v>54</v>
      </c>
      <c r="B1053" s="41">
        <v>0</v>
      </c>
      <c r="C1053" s="41">
        <v>8.16</v>
      </c>
      <c r="D1053" s="42">
        <v>0</v>
      </c>
      <c r="E1053" s="39"/>
    </row>
    <row r="1054" spans="1:5">
      <c r="A1054" s="40" t="s">
        <v>51</v>
      </c>
      <c r="B1054" s="41">
        <v>148816.35</v>
      </c>
      <c r="C1054" s="41">
        <v>167176.76999999999</v>
      </c>
      <c r="D1054" s="42">
        <v>-8665.2099999999991</v>
      </c>
      <c r="E1054" s="39">
        <f t="shared" ref="E1054:E1059" si="46">C1054/B1054*100</f>
        <v>112.3376362879482</v>
      </c>
    </row>
    <row r="1055" spans="1:5">
      <c r="A1055" s="40" t="s">
        <v>40</v>
      </c>
      <c r="B1055" s="41">
        <v>22738.68</v>
      </c>
      <c r="C1055" s="41">
        <v>16557</v>
      </c>
      <c r="D1055" s="42">
        <v>2419.1</v>
      </c>
      <c r="E1055" s="39">
        <f t="shared" si="46"/>
        <v>72.814253070099056</v>
      </c>
    </row>
    <row r="1056" spans="1:5">
      <c r="A1056" s="40" t="s">
        <v>37</v>
      </c>
      <c r="B1056" s="41">
        <v>17706.12</v>
      </c>
      <c r="C1056" s="41">
        <v>23505.43</v>
      </c>
      <c r="D1056" s="42">
        <v>-2351.87</v>
      </c>
      <c r="E1056" s="39">
        <f t="shared" si="46"/>
        <v>132.7531384628592</v>
      </c>
    </row>
    <row r="1057" spans="1:5">
      <c r="A1057" s="40" t="s">
        <v>36</v>
      </c>
      <c r="B1057" s="41">
        <v>57186.07</v>
      </c>
      <c r="C1057" s="41">
        <v>62920.15</v>
      </c>
      <c r="D1057" s="42">
        <v>10399.1</v>
      </c>
      <c r="E1057" s="39">
        <f t="shared" si="46"/>
        <v>110.02705728860194</v>
      </c>
    </row>
    <row r="1058" spans="1:5">
      <c r="A1058" s="40" t="s">
        <v>50</v>
      </c>
      <c r="B1058" s="41">
        <v>13428.48</v>
      </c>
      <c r="C1058" s="41">
        <v>12186.91</v>
      </c>
      <c r="D1058" s="42">
        <v>2080.4699999999998</v>
      </c>
      <c r="E1058" s="39">
        <f t="shared" si="46"/>
        <v>90.754203007339626</v>
      </c>
    </row>
    <row r="1059" spans="1:5">
      <c r="A1059" s="40" t="s">
        <v>38</v>
      </c>
      <c r="B1059" s="41">
        <v>3541.17</v>
      </c>
      <c r="C1059" s="41">
        <v>3426.06</v>
      </c>
      <c r="D1059" s="42">
        <v>595.13</v>
      </c>
      <c r="E1059" s="39">
        <f t="shared" si="46"/>
        <v>96.749379442387678</v>
      </c>
    </row>
    <row r="1060" spans="1:5">
      <c r="A1060" s="40" t="s">
        <v>39</v>
      </c>
      <c r="B1060" s="41">
        <v>0</v>
      </c>
      <c r="C1060" s="41">
        <v>638.1</v>
      </c>
      <c r="D1060" s="42">
        <v>-1677.99</v>
      </c>
      <c r="E1060" s="39"/>
    </row>
    <row r="1061" spans="1:5">
      <c r="A1061" s="43" t="s">
        <v>45</v>
      </c>
      <c r="B1061" s="44">
        <v>738351.05</v>
      </c>
      <c r="C1061" s="44">
        <v>737222.3</v>
      </c>
      <c r="D1061" s="45">
        <v>100035.04</v>
      </c>
      <c r="E1061" s="46">
        <f>C1061/B1061*100</f>
        <v>99.847125564458807</v>
      </c>
    </row>
    <row r="1062" spans="1:5">
      <c r="A1062" s="54" t="s">
        <v>60</v>
      </c>
      <c r="B1062" s="54"/>
      <c r="C1062" s="54"/>
      <c r="D1062" s="54"/>
      <c r="E1062" s="39"/>
    </row>
    <row r="1063" spans="1:5">
      <c r="A1063" s="40" t="s">
        <v>35</v>
      </c>
      <c r="B1063" s="41">
        <v>455692.44</v>
      </c>
      <c r="C1063" s="41">
        <v>428415.27</v>
      </c>
      <c r="D1063" s="42">
        <v>98482.02</v>
      </c>
      <c r="E1063" s="39">
        <f>C1063/B1063*100</f>
        <v>94.014127159976596</v>
      </c>
    </row>
    <row r="1064" spans="1:5">
      <c r="A1064" s="40" t="s">
        <v>40</v>
      </c>
      <c r="B1064" s="41">
        <v>30587.16</v>
      </c>
      <c r="C1064" s="41">
        <v>27253.69</v>
      </c>
      <c r="D1064" s="42">
        <v>9665.75</v>
      </c>
      <c r="E1064" s="39">
        <f>C1064/B1064*100</f>
        <v>89.101734191732746</v>
      </c>
    </row>
    <row r="1065" spans="1:5">
      <c r="A1065" s="40" t="s">
        <v>37</v>
      </c>
      <c r="B1065" s="41">
        <v>43565.97</v>
      </c>
      <c r="C1065" s="41">
        <v>50669.11</v>
      </c>
      <c r="D1065" s="42">
        <v>4799.5200000000004</v>
      </c>
      <c r="E1065" s="39">
        <f>C1065/B1065*100</f>
        <v>116.30433110980887</v>
      </c>
    </row>
    <row r="1066" spans="1:5">
      <c r="A1066" s="40" t="s">
        <v>51</v>
      </c>
      <c r="B1066" s="41">
        <v>222920.62</v>
      </c>
      <c r="C1066" s="41">
        <v>204718.72</v>
      </c>
      <c r="D1066" s="42">
        <v>75096.490000000005</v>
      </c>
      <c r="E1066" s="39">
        <f>C1066/B1066*100</f>
        <v>91.834806488515966</v>
      </c>
    </row>
    <row r="1067" spans="1:5">
      <c r="A1067" s="40" t="s">
        <v>44</v>
      </c>
      <c r="B1067" s="41">
        <v>0</v>
      </c>
      <c r="C1067" s="41">
        <v>-16191.98</v>
      </c>
      <c r="D1067" s="42">
        <v>-1983.7</v>
      </c>
      <c r="E1067" s="39"/>
    </row>
    <row r="1068" spans="1:5">
      <c r="A1068" s="40" t="s">
        <v>47</v>
      </c>
      <c r="B1068" s="41">
        <v>9376</v>
      </c>
      <c r="C1068" s="41">
        <v>512.49</v>
      </c>
      <c r="D1068" s="42">
        <v>1597.8</v>
      </c>
      <c r="E1068" s="39">
        <f t="shared" ref="E1068:E1077" si="47">C1068/B1068*100</f>
        <v>5.4659769624573382</v>
      </c>
    </row>
    <row r="1069" spans="1:5">
      <c r="A1069" s="40" t="s">
        <v>52</v>
      </c>
      <c r="B1069" s="41">
        <v>-10384.92</v>
      </c>
      <c r="C1069" s="41">
        <v>-13027.15</v>
      </c>
      <c r="D1069" s="42">
        <v>0</v>
      </c>
      <c r="E1069" s="39">
        <f t="shared" si="47"/>
        <v>125.44294996976384</v>
      </c>
    </row>
    <row r="1070" spans="1:5">
      <c r="A1070" s="40" t="s">
        <v>41</v>
      </c>
      <c r="B1070" s="41">
        <v>66729.61</v>
      </c>
      <c r="C1070" s="41">
        <v>62086.02</v>
      </c>
      <c r="D1070" s="42">
        <v>24113.88</v>
      </c>
      <c r="E1070" s="39">
        <f t="shared" si="47"/>
        <v>93.041185165026434</v>
      </c>
    </row>
    <row r="1071" spans="1:5">
      <c r="A1071" s="40" t="s">
        <v>135</v>
      </c>
      <c r="B1071" s="41">
        <v>43755.88</v>
      </c>
      <c r="C1071" s="41">
        <v>36930.01</v>
      </c>
      <c r="D1071" s="42">
        <v>8281.4</v>
      </c>
      <c r="E1071" s="39">
        <f t="shared" si="47"/>
        <v>84.400108054048971</v>
      </c>
    </row>
    <row r="1072" spans="1:5">
      <c r="A1072" s="40" t="s">
        <v>38</v>
      </c>
      <c r="B1072" s="41">
        <v>5476.97</v>
      </c>
      <c r="C1072" s="41">
        <v>4872.21</v>
      </c>
      <c r="D1072" s="42">
        <v>1273.3399999999999</v>
      </c>
      <c r="E1072" s="39">
        <f t="shared" si="47"/>
        <v>88.958128308170387</v>
      </c>
    </row>
    <row r="1073" spans="1:5">
      <c r="A1073" s="40" t="s">
        <v>33</v>
      </c>
      <c r="B1073" s="41">
        <v>86260.21</v>
      </c>
      <c r="C1073" s="41">
        <v>92624.59</v>
      </c>
      <c r="D1073" s="42">
        <v>16851.73</v>
      </c>
      <c r="E1073" s="39">
        <f t="shared" si="47"/>
        <v>107.3781179062745</v>
      </c>
    </row>
    <row r="1074" spans="1:5">
      <c r="A1074" s="40" t="s">
        <v>36</v>
      </c>
      <c r="B1074" s="41">
        <v>82255.210000000006</v>
      </c>
      <c r="C1074" s="41">
        <v>88792.74</v>
      </c>
      <c r="D1074" s="42">
        <v>16034.68</v>
      </c>
      <c r="E1074" s="39">
        <f t="shared" si="47"/>
        <v>107.94786129656711</v>
      </c>
    </row>
    <row r="1075" spans="1:5">
      <c r="A1075" s="40" t="s">
        <v>42</v>
      </c>
      <c r="B1075" s="41">
        <v>52519.08</v>
      </c>
      <c r="C1075" s="41">
        <v>50915.68</v>
      </c>
      <c r="D1075" s="42">
        <v>8466.34</v>
      </c>
      <c r="E1075" s="39">
        <f t="shared" si="47"/>
        <v>96.947014304134811</v>
      </c>
    </row>
    <row r="1076" spans="1:5">
      <c r="A1076" s="40" t="s">
        <v>53</v>
      </c>
      <c r="B1076" s="41">
        <v>5863.61</v>
      </c>
      <c r="C1076" s="41">
        <v>5494.28</v>
      </c>
      <c r="D1076" s="42">
        <v>1175.57</v>
      </c>
      <c r="E1076" s="39">
        <f t="shared" si="47"/>
        <v>93.701320517565122</v>
      </c>
    </row>
    <row r="1077" spans="1:5">
      <c r="A1077" s="40" t="s">
        <v>43</v>
      </c>
      <c r="B1077" s="41">
        <v>34494.410000000003</v>
      </c>
      <c r="C1077" s="41">
        <v>31025.06</v>
      </c>
      <c r="D1077" s="42">
        <v>9721.01</v>
      </c>
      <c r="E1077" s="39">
        <f t="shared" si="47"/>
        <v>89.942283401861346</v>
      </c>
    </row>
    <row r="1078" spans="1:5">
      <c r="A1078" s="40" t="s">
        <v>39</v>
      </c>
      <c r="B1078" s="41">
        <v>0</v>
      </c>
      <c r="C1078" s="41">
        <v>1614.98</v>
      </c>
      <c r="D1078" s="42">
        <v>-3384.81</v>
      </c>
      <c r="E1078" s="39"/>
    </row>
    <row r="1079" spans="1:5">
      <c r="A1079" s="40" t="s">
        <v>50</v>
      </c>
      <c r="B1079" s="41">
        <v>25606.47</v>
      </c>
      <c r="C1079" s="41">
        <v>23953.48</v>
      </c>
      <c r="D1079" s="42">
        <v>9604.59</v>
      </c>
      <c r="E1079" s="39">
        <f>C1079/B1079*100</f>
        <v>93.544639304050875</v>
      </c>
    </row>
    <row r="1080" spans="1:5">
      <c r="A1080" s="40" t="s">
        <v>34</v>
      </c>
      <c r="B1080" s="41">
        <v>0</v>
      </c>
      <c r="C1080" s="41">
        <v>-9796.73</v>
      </c>
      <c r="D1080" s="42">
        <v>9691.85</v>
      </c>
      <c r="E1080" s="39"/>
    </row>
    <row r="1081" spans="1:5">
      <c r="A1081" s="40" t="s">
        <v>32</v>
      </c>
      <c r="B1081" s="41">
        <v>69038.559999999998</v>
      </c>
      <c r="C1081" s="41">
        <v>74181.570000000007</v>
      </c>
      <c r="D1081" s="42">
        <v>13288.14</v>
      </c>
      <c r="E1081" s="39">
        <f>C1081/B1081*100</f>
        <v>107.44947461244847</v>
      </c>
    </row>
    <row r="1082" spans="1:5">
      <c r="A1082" s="43" t="s">
        <v>45</v>
      </c>
      <c r="B1082" s="44">
        <v>1223757.28</v>
      </c>
      <c r="C1082" s="44">
        <v>1145044.04</v>
      </c>
      <c r="D1082" s="45">
        <v>302775.59999999998</v>
      </c>
      <c r="E1082" s="46">
        <f>C1082/B1082*100</f>
        <v>93.567904249770834</v>
      </c>
    </row>
    <row r="1083" spans="1:5">
      <c r="A1083" s="54" t="s">
        <v>61</v>
      </c>
      <c r="B1083" s="54"/>
      <c r="C1083" s="54"/>
      <c r="D1083" s="54"/>
      <c r="E1083" s="39"/>
    </row>
    <row r="1084" spans="1:5">
      <c r="A1084" s="40" t="s">
        <v>53</v>
      </c>
      <c r="B1084" s="41">
        <v>-54861.120000000003</v>
      </c>
      <c r="C1084" s="41">
        <v>-100114.06</v>
      </c>
      <c r="D1084" s="42">
        <v>4.83</v>
      </c>
      <c r="E1084" s="39">
        <f>C1084/B1084*100</f>
        <v>182.48635828069132</v>
      </c>
    </row>
    <row r="1085" spans="1:5">
      <c r="A1085" s="40" t="s">
        <v>135</v>
      </c>
      <c r="B1085" s="41">
        <v>42916.1</v>
      </c>
      <c r="C1085" s="41">
        <v>36062.800000000003</v>
      </c>
      <c r="D1085" s="42">
        <v>10685.65</v>
      </c>
      <c r="E1085" s="39">
        <f>C1085/B1085*100</f>
        <v>84.030934777391238</v>
      </c>
    </row>
    <row r="1086" spans="1:5">
      <c r="A1086" s="40" t="s">
        <v>51</v>
      </c>
      <c r="B1086" s="41">
        <v>277881.08</v>
      </c>
      <c r="C1086" s="41">
        <v>346015.61</v>
      </c>
      <c r="D1086" s="42">
        <v>-9645.5300000000007</v>
      </c>
      <c r="E1086" s="39">
        <f>C1086/B1086*100</f>
        <v>124.51931236196432</v>
      </c>
    </row>
    <row r="1087" spans="1:5">
      <c r="A1087" s="40" t="s">
        <v>41</v>
      </c>
      <c r="B1087" s="41">
        <v>75687.58</v>
      </c>
      <c r="C1087" s="41">
        <v>71650.95</v>
      </c>
      <c r="D1087" s="42">
        <v>20144.95</v>
      </c>
      <c r="E1087" s="39">
        <f>C1087/B1087*100</f>
        <v>94.66672074863537</v>
      </c>
    </row>
    <row r="1088" spans="1:5">
      <c r="A1088" s="40" t="s">
        <v>32</v>
      </c>
      <c r="B1088" s="41">
        <v>70229.820000000007</v>
      </c>
      <c r="C1088" s="41">
        <v>73433.710000000006</v>
      </c>
      <c r="D1088" s="42">
        <v>16924.009999999998</v>
      </c>
      <c r="E1088" s="39">
        <f>C1088/B1088*100</f>
        <v>104.56200799033802</v>
      </c>
    </row>
    <row r="1089" spans="1:5">
      <c r="A1089" s="53" t="s">
        <v>96</v>
      </c>
      <c r="B1089" s="53"/>
      <c r="C1089" s="53"/>
      <c r="D1089" s="53"/>
      <c r="E1089" s="39"/>
    </row>
    <row r="1090" spans="1:5">
      <c r="A1090" s="36" t="s">
        <v>28</v>
      </c>
      <c r="B1090" s="36" t="s">
        <v>29</v>
      </c>
      <c r="C1090" s="36" t="s">
        <v>30</v>
      </c>
      <c r="D1090" s="37" t="s">
        <v>31</v>
      </c>
      <c r="E1090" s="39"/>
    </row>
    <row r="1091" spans="1:5">
      <c r="A1091" s="40" t="s">
        <v>36</v>
      </c>
      <c r="B1091" s="41">
        <v>83674.86</v>
      </c>
      <c r="C1091" s="41">
        <v>88497.58</v>
      </c>
      <c r="D1091" s="42">
        <v>20220.669999999998</v>
      </c>
      <c r="E1091" s="39">
        <f>C1091/B1091*100</f>
        <v>105.76364274765444</v>
      </c>
    </row>
    <row r="1092" spans="1:5">
      <c r="A1092" s="40" t="s">
        <v>39</v>
      </c>
      <c r="B1092" s="41">
        <v>0</v>
      </c>
      <c r="C1092" s="41">
        <v>778.28</v>
      </c>
      <c r="D1092" s="42">
        <v>-2654.92</v>
      </c>
      <c r="E1092" s="39"/>
    </row>
    <row r="1093" spans="1:5">
      <c r="A1093" s="40" t="s">
        <v>40</v>
      </c>
      <c r="B1093" s="41">
        <v>28744.45</v>
      </c>
      <c r="C1093" s="41">
        <v>27562.240000000002</v>
      </c>
      <c r="D1093" s="42">
        <v>4243.1499999999996</v>
      </c>
      <c r="E1093" s="39">
        <f>C1093/B1093*100</f>
        <v>95.887171262626353</v>
      </c>
    </row>
    <row r="1094" spans="1:5">
      <c r="A1094" s="40" t="s">
        <v>52</v>
      </c>
      <c r="B1094" s="41">
        <v>-8722.0499999999993</v>
      </c>
      <c r="C1094" s="41">
        <v>-9351.16</v>
      </c>
      <c r="D1094" s="42">
        <v>-1202.77</v>
      </c>
      <c r="E1094" s="39">
        <f>C1094/B1094*100</f>
        <v>107.21286853434687</v>
      </c>
    </row>
    <row r="1095" spans="1:5">
      <c r="A1095" s="40" t="s">
        <v>42</v>
      </c>
      <c r="B1095" s="41">
        <v>55796.03</v>
      </c>
      <c r="C1095" s="41">
        <v>51628.91</v>
      </c>
      <c r="D1095" s="42">
        <v>16444.57</v>
      </c>
      <c r="E1095" s="39">
        <f>C1095/B1095*100</f>
        <v>92.531511650560091</v>
      </c>
    </row>
    <row r="1096" spans="1:5">
      <c r="A1096" s="40" t="s">
        <v>34</v>
      </c>
      <c r="B1096" s="41">
        <v>0</v>
      </c>
      <c r="C1096" s="41">
        <v>43224.17</v>
      </c>
      <c r="D1096" s="42">
        <v>163932.1</v>
      </c>
      <c r="E1096" s="39"/>
    </row>
    <row r="1097" spans="1:5">
      <c r="A1097" s="40" t="s">
        <v>33</v>
      </c>
      <c r="B1097" s="41">
        <v>87748.92</v>
      </c>
      <c r="C1097" s="41">
        <v>91941.75</v>
      </c>
      <c r="D1097" s="42">
        <v>21180.26</v>
      </c>
      <c r="E1097" s="39">
        <f>C1097/B1097*100</f>
        <v>104.778212654925</v>
      </c>
    </row>
    <row r="1098" spans="1:5">
      <c r="A1098" s="40" t="s">
        <v>50</v>
      </c>
      <c r="B1098" s="41">
        <v>30591.89</v>
      </c>
      <c r="C1098" s="41">
        <v>27581.01</v>
      </c>
      <c r="D1098" s="42">
        <v>9970.15</v>
      </c>
      <c r="E1098" s="39">
        <f>C1098/B1098*100</f>
        <v>90.157914401496598</v>
      </c>
    </row>
    <row r="1099" spans="1:5">
      <c r="A1099" s="40" t="s">
        <v>43</v>
      </c>
      <c r="B1099" s="41">
        <v>26860.52</v>
      </c>
      <c r="C1099" s="41">
        <v>25337.98</v>
      </c>
      <c r="D1099" s="42">
        <v>6763.08</v>
      </c>
      <c r="E1099" s="39">
        <f>C1099/B1099*100</f>
        <v>94.331680846089355</v>
      </c>
    </row>
    <row r="1100" spans="1:5">
      <c r="A1100" s="40" t="s">
        <v>38</v>
      </c>
      <c r="B1100" s="41">
        <v>4266.4399999999996</v>
      </c>
      <c r="C1100" s="41">
        <v>3509.48</v>
      </c>
      <c r="D1100" s="42">
        <v>885.89</v>
      </c>
      <c r="E1100" s="39">
        <f>C1100/B1100*100</f>
        <v>82.257807446020578</v>
      </c>
    </row>
    <row r="1101" spans="1:5">
      <c r="A1101" s="40" t="s">
        <v>35</v>
      </c>
      <c r="B1101" s="41">
        <v>463556.52</v>
      </c>
      <c r="C1101" s="41">
        <v>434763.53</v>
      </c>
      <c r="D1101" s="42">
        <v>120656.58</v>
      </c>
      <c r="E1101" s="39">
        <f>C1101/B1101*100</f>
        <v>93.78867759210894</v>
      </c>
    </row>
    <row r="1102" spans="1:5">
      <c r="A1102" s="40" t="s">
        <v>44</v>
      </c>
      <c r="B1102" s="41">
        <v>0</v>
      </c>
      <c r="C1102" s="41">
        <v>-24498.57</v>
      </c>
      <c r="D1102" s="42">
        <v>1541.28</v>
      </c>
      <c r="E1102" s="39"/>
    </row>
    <row r="1103" spans="1:5">
      <c r="A1103" s="40" t="s">
        <v>47</v>
      </c>
      <c r="B1103" s="41">
        <v>9075.2000000000007</v>
      </c>
      <c r="C1103" s="41">
        <v>218.4</v>
      </c>
      <c r="D1103" s="42">
        <v>1697.6</v>
      </c>
      <c r="E1103" s="39">
        <f>C1103/B1103*100</f>
        <v>2.4065585331452746</v>
      </c>
    </row>
    <row r="1104" spans="1:5">
      <c r="A1104" s="40" t="s">
        <v>37</v>
      </c>
      <c r="B1104" s="41">
        <v>48795.5</v>
      </c>
      <c r="C1104" s="41">
        <v>54216.13</v>
      </c>
      <c r="D1104" s="42">
        <v>4296.43</v>
      </c>
      <c r="E1104" s="39">
        <f>C1104/B1104*100</f>
        <v>111.10887274441291</v>
      </c>
    </row>
    <row r="1105" spans="1:5">
      <c r="A1105" s="43" t="s">
        <v>45</v>
      </c>
      <c r="B1105" s="44">
        <v>1242241.74</v>
      </c>
      <c r="C1105" s="44">
        <v>1242458.74</v>
      </c>
      <c r="D1105" s="45">
        <v>406087.98</v>
      </c>
      <c r="E1105" s="46">
        <f>C1105/B1105*100</f>
        <v>100.01746841963303</v>
      </c>
    </row>
    <row r="1106" spans="1:5">
      <c r="A1106" s="54" t="s">
        <v>62</v>
      </c>
      <c r="B1106" s="54"/>
      <c r="C1106" s="54"/>
      <c r="D1106" s="54"/>
      <c r="E1106" s="39"/>
    </row>
    <row r="1107" spans="1:5">
      <c r="A1107" s="40" t="s">
        <v>43</v>
      </c>
      <c r="B1107" s="41">
        <v>26192.9</v>
      </c>
      <c r="C1107" s="41">
        <v>24125.279999999999</v>
      </c>
      <c r="D1107" s="42">
        <v>5781</v>
      </c>
      <c r="E1107" s="39">
        <f>C1107/B1107*100</f>
        <v>92.106181446117063</v>
      </c>
    </row>
    <row r="1108" spans="1:5">
      <c r="A1108" s="40" t="s">
        <v>39</v>
      </c>
      <c r="B1108" s="41">
        <v>0</v>
      </c>
      <c r="C1108" s="41">
        <v>1903.23</v>
      </c>
      <c r="D1108" s="42">
        <v>-4356.55</v>
      </c>
      <c r="E1108" s="39"/>
    </row>
    <row r="1109" spans="1:5">
      <c r="A1109" s="40" t="s">
        <v>35</v>
      </c>
      <c r="B1109" s="41">
        <v>0</v>
      </c>
      <c r="C1109" s="41">
        <v>-932.27</v>
      </c>
      <c r="D1109" s="42">
        <v>932.27</v>
      </c>
      <c r="E1109" s="39"/>
    </row>
    <row r="1110" spans="1:5">
      <c r="A1110" s="40" t="s">
        <v>51</v>
      </c>
      <c r="B1110" s="41">
        <v>136489.57</v>
      </c>
      <c r="C1110" s="41">
        <v>96795.47</v>
      </c>
      <c r="D1110" s="42">
        <v>68255.429999999993</v>
      </c>
      <c r="E1110" s="39">
        <f t="shared" ref="E1110:E1122" si="48">C1110/B1110*100</f>
        <v>70.917851085617741</v>
      </c>
    </row>
    <row r="1111" spans="1:5">
      <c r="A1111" s="40" t="s">
        <v>46</v>
      </c>
      <c r="B1111" s="41">
        <v>546690.43999999994</v>
      </c>
      <c r="C1111" s="41">
        <v>442716.47</v>
      </c>
      <c r="D1111" s="42">
        <v>164001.15</v>
      </c>
      <c r="E1111" s="39">
        <f t="shared" si="48"/>
        <v>80.981198427395213</v>
      </c>
    </row>
    <row r="1112" spans="1:5">
      <c r="A1112" s="40" t="s">
        <v>42</v>
      </c>
      <c r="B1112" s="41">
        <v>-45855.26</v>
      </c>
      <c r="C1112" s="41">
        <v>20702.48</v>
      </c>
      <c r="D1112" s="42">
        <v>-50160.11</v>
      </c>
      <c r="E1112" s="39">
        <f t="shared" si="48"/>
        <v>-45.147448733253285</v>
      </c>
    </row>
    <row r="1113" spans="1:5">
      <c r="A1113" s="40" t="s">
        <v>37</v>
      </c>
      <c r="B1113" s="41">
        <v>37109.550000000003</v>
      </c>
      <c r="C1113" s="41">
        <v>29625.759999999998</v>
      </c>
      <c r="D1113" s="42">
        <v>14034.11</v>
      </c>
      <c r="E1113" s="39">
        <f t="shared" si="48"/>
        <v>79.833250470566185</v>
      </c>
    </row>
    <row r="1114" spans="1:5">
      <c r="A1114" s="40" t="s">
        <v>63</v>
      </c>
      <c r="B1114" s="41">
        <v>144452.19</v>
      </c>
      <c r="C1114" s="41">
        <v>128980.26</v>
      </c>
      <c r="D1114" s="42">
        <v>49031.28</v>
      </c>
      <c r="E1114" s="39">
        <f t="shared" si="48"/>
        <v>89.289238190158272</v>
      </c>
    </row>
    <row r="1115" spans="1:5">
      <c r="A1115" s="40" t="s">
        <v>33</v>
      </c>
      <c r="B1115" s="41">
        <v>147905.93</v>
      </c>
      <c r="C1115" s="41">
        <v>141722.78</v>
      </c>
      <c r="D1115" s="42">
        <v>53301.04</v>
      </c>
      <c r="E1115" s="39">
        <f t="shared" si="48"/>
        <v>95.81953881091853</v>
      </c>
    </row>
    <row r="1116" spans="1:5">
      <c r="A1116" s="40" t="s">
        <v>50</v>
      </c>
      <c r="B1116" s="41">
        <v>24558.67</v>
      </c>
      <c r="C1116" s="41">
        <v>17065.21</v>
      </c>
      <c r="D1116" s="42">
        <v>12611.77</v>
      </c>
      <c r="E1116" s="39">
        <f t="shared" si="48"/>
        <v>69.487517035735252</v>
      </c>
    </row>
    <row r="1117" spans="1:5">
      <c r="A1117" s="40" t="s">
        <v>36</v>
      </c>
      <c r="B1117" s="41">
        <v>141037.93</v>
      </c>
      <c r="C1117" s="41">
        <v>135165.51</v>
      </c>
      <c r="D1117" s="42">
        <v>50866.11</v>
      </c>
      <c r="E1117" s="39">
        <f t="shared" si="48"/>
        <v>95.8362831899192</v>
      </c>
    </row>
    <row r="1118" spans="1:5">
      <c r="A1118" s="40" t="s">
        <v>32</v>
      </c>
      <c r="B1118" s="41">
        <v>118376.82</v>
      </c>
      <c r="C1118" s="41">
        <v>107655.44</v>
      </c>
      <c r="D1118" s="42">
        <v>39363.46</v>
      </c>
      <c r="E1118" s="39">
        <f t="shared" si="48"/>
        <v>90.943007254291842</v>
      </c>
    </row>
    <row r="1119" spans="1:5">
      <c r="A1119" s="40" t="s">
        <v>47</v>
      </c>
      <c r="B1119" s="41">
        <v>2861.4</v>
      </c>
      <c r="C1119" s="41">
        <v>94.4</v>
      </c>
      <c r="D1119" s="42">
        <v>2767</v>
      </c>
      <c r="E1119" s="39">
        <f t="shared" si="48"/>
        <v>3.2990843642971974</v>
      </c>
    </row>
    <row r="1120" spans="1:5">
      <c r="A1120" s="40" t="s">
        <v>41</v>
      </c>
      <c r="B1120" s="41">
        <v>59453.87</v>
      </c>
      <c r="C1120" s="41">
        <v>46001.9</v>
      </c>
      <c r="D1120" s="42">
        <v>24699.25</v>
      </c>
      <c r="E1120" s="39">
        <f t="shared" si="48"/>
        <v>77.374105335783867</v>
      </c>
    </row>
    <row r="1121" spans="1:5">
      <c r="A1121" s="40" t="s">
        <v>40</v>
      </c>
      <c r="B1121" s="41">
        <v>25687.67</v>
      </c>
      <c r="C1121" s="41">
        <v>27053.58</v>
      </c>
      <c r="D1121" s="42">
        <v>18937.580000000002</v>
      </c>
      <c r="E1121" s="39">
        <f t="shared" si="48"/>
        <v>105.31737600179387</v>
      </c>
    </row>
    <row r="1122" spans="1:5">
      <c r="A1122" s="40" t="s">
        <v>38</v>
      </c>
      <c r="B1122" s="41">
        <v>4152.0200000000004</v>
      </c>
      <c r="C1122" s="41">
        <v>3780.62</v>
      </c>
      <c r="D1122" s="42">
        <v>964.62</v>
      </c>
      <c r="E1122" s="39">
        <f t="shared" si="48"/>
        <v>91.054956382676366</v>
      </c>
    </row>
    <row r="1123" spans="1:5">
      <c r="A1123" s="40" t="s">
        <v>44</v>
      </c>
      <c r="B1123" s="41">
        <v>0</v>
      </c>
      <c r="C1123" s="41">
        <v>-16903.25</v>
      </c>
      <c r="D1123" s="42">
        <v>5164.7</v>
      </c>
      <c r="E1123" s="39"/>
    </row>
    <row r="1124" spans="1:5">
      <c r="A1124" s="43" t="s">
        <v>45</v>
      </c>
      <c r="B1124" s="44">
        <v>1369113.7</v>
      </c>
      <c r="C1124" s="44">
        <v>1205552.8700000001</v>
      </c>
      <c r="D1124" s="45">
        <v>456194.11</v>
      </c>
      <c r="E1124" s="46">
        <f>C1124/B1124*100</f>
        <v>88.053524699957364</v>
      </c>
    </row>
    <row r="1125" spans="1:5">
      <c r="A1125" s="54" t="s">
        <v>154</v>
      </c>
      <c r="B1125" s="54"/>
      <c r="C1125" s="54"/>
      <c r="D1125" s="54"/>
      <c r="E1125" s="39"/>
    </row>
    <row r="1126" spans="1:5">
      <c r="A1126" s="40" t="s">
        <v>63</v>
      </c>
      <c r="B1126" s="41">
        <v>101475.05</v>
      </c>
      <c r="C1126" s="41">
        <v>70203.789999999994</v>
      </c>
      <c r="D1126" s="42">
        <v>31271.26</v>
      </c>
      <c r="E1126" s="39">
        <f>C1126/B1126*100</f>
        <v>69.183301708153863</v>
      </c>
    </row>
    <row r="1127" spans="1:5">
      <c r="A1127" s="40" t="s">
        <v>41</v>
      </c>
      <c r="B1127" s="41">
        <v>26252.81</v>
      </c>
      <c r="C1127" s="41">
        <v>20923.810000000001</v>
      </c>
      <c r="D1127" s="42">
        <v>5329</v>
      </c>
      <c r="E1127" s="39">
        <f>C1127/B1127*100</f>
        <v>79.701220555056778</v>
      </c>
    </row>
    <row r="1128" spans="1:5">
      <c r="A1128" s="40" t="s">
        <v>42</v>
      </c>
      <c r="B1128" s="41">
        <v>23578.639999999999</v>
      </c>
      <c r="C1128" s="41">
        <v>10626.38</v>
      </c>
      <c r="D1128" s="42">
        <v>12952.26</v>
      </c>
      <c r="E1128" s="39">
        <f>C1128/B1128*100</f>
        <v>45.067824098421283</v>
      </c>
    </row>
    <row r="1129" spans="1:5">
      <c r="A1129" s="40" t="s">
        <v>40</v>
      </c>
      <c r="B1129" s="41">
        <v>24041.78</v>
      </c>
      <c r="C1129" s="41">
        <v>17067.79</v>
      </c>
      <c r="D1129" s="42">
        <v>6973.99</v>
      </c>
      <c r="E1129" s="39">
        <f>C1129/B1129*100</f>
        <v>70.992206067936735</v>
      </c>
    </row>
    <row r="1130" spans="1:5">
      <c r="A1130" s="40" t="s">
        <v>53</v>
      </c>
      <c r="B1130" s="41">
        <v>0</v>
      </c>
      <c r="C1130" s="41">
        <v>0</v>
      </c>
      <c r="D1130" s="42">
        <v>0</v>
      </c>
      <c r="E1130" s="39"/>
    </row>
    <row r="1131" spans="1:5">
      <c r="A1131" s="40" t="s">
        <v>36</v>
      </c>
      <c r="B1131" s="41">
        <v>107997.39</v>
      </c>
      <c r="C1131" s="41">
        <v>79255.22</v>
      </c>
      <c r="D1131" s="42">
        <v>28742.17</v>
      </c>
      <c r="E1131" s="39">
        <f t="shared" ref="E1131:E1138" si="49">C1131/B1131*100</f>
        <v>73.386236463677506</v>
      </c>
    </row>
    <row r="1132" spans="1:5">
      <c r="A1132" s="40" t="s">
        <v>50</v>
      </c>
      <c r="B1132" s="41">
        <v>9067.5</v>
      </c>
      <c r="C1132" s="41">
        <v>7095.34</v>
      </c>
      <c r="D1132" s="42">
        <v>1972.16</v>
      </c>
      <c r="E1132" s="39">
        <f t="shared" si="49"/>
        <v>78.250234353460158</v>
      </c>
    </row>
    <row r="1133" spans="1:5">
      <c r="A1133" s="40" t="s">
        <v>46</v>
      </c>
      <c r="B1133" s="41">
        <v>194508.3</v>
      </c>
      <c r="C1133" s="41">
        <v>85414.399999999994</v>
      </c>
      <c r="D1133" s="42">
        <v>109093.9</v>
      </c>
      <c r="E1133" s="39">
        <f t="shared" si="49"/>
        <v>43.912984690113483</v>
      </c>
    </row>
    <row r="1134" spans="1:5">
      <c r="A1134" s="40" t="s">
        <v>33</v>
      </c>
      <c r="B1134" s="41">
        <v>113408.49</v>
      </c>
      <c r="C1134" s="41">
        <v>83218.289999999994</v>
      </c>
      <c r="D1134" s="42">
        <v>30190.2</v>
      </c>
      <c r="E1134" s="39">
        <f t="shared" si="49"/>
        <v>73.379241712855887</v>
      </c>
    </row>
    <row r="1135" spans="1:5">
      <c r="A1135" s="40" t="s">
        <v>37</v>
      </c>
      <c r="B1135" s="41">
        <v>17968.259999999998</v>
      </c>
      <c r="C1135" s="41">
        <v>14588.56</v>
      </c>
      <c r="D1135" s="42">
        <v>3379.7</v>
      </c>
      <c r="E1135" s="39">
        <f t="shared" si="49"/>
        <v>81.19072186177182</v>
      </c>
    </row>
    <row r="1136" spans="1:5">
      <c r="A1136" s="40" t="s">
        <v>51</v>
      </c>
      <c r="B1136" s="41">
        <v>50279.87</v>
      </c>
      <c r="C1136" s="41">
        <v>39344.370000000003</v>
      </c>
      <c r="D1136" s="42">
        <v>10935.5</v>
      </c>
      <c r="E1136" s="39">
        <f t="shared" si="49"/>
        <v>78.250739311776258</v>
      </c>
    </row>
    <row r="1137" spans="1:5">
      <c r="A1137" s="40" t="s">
        <v>32</v>
      </c>
      <c r="B1137" s="41">
        <v>90774.51</v>
      </c>
      <c r="C1137" s="41">
        <v>66609.22</v>
      </c>
      <c r="D1137" s="42">
        <v>24165.29</v>
      </c>
      <c r="E1137" s="39">
        <f t="shared" si="49"/>
        <v>73.378771199095439</v>
      </c>
    </row>
    <row r="1138" spans="1:5">
      <c r="A1138" s="40" t="s">
        <v>47</v>
      </c>
      <c r="B1138" s="41">
        <v>3668.4</v>
      </c>
      <c r="C1138" s="41">
        <v>0</v>
      </c>
      <c r="D1138" s="42">
        <v>3668.4</v>
      </c>
      <c r="E1138" s="39">
        <f t="shared" si="49"/>
        <v>0</v>
      </c>
    </row>
    <row r="1139" spans="1:5">
      <c r="A1139" s="40" t="s">
        <v>133</v>
      </c>
      <c r="B1139" s="41">
        <v>0</v>
      </c>
      <c r="C1139" s="41">
        <v>0</v>
      </c>
      <c r="D1139" s="42">
        <v>0</v>
      </c>
      <c r="E1139" s="39"/>
    </row>
    <row r="1140" spans="1:5">
      <c r="A1140" s="40" t="s">
        <v>39</v>
      </c>
      <c r="B1140" s="41">
        <v>6162.93</v>
      </c>
      <c r="C1140" s="41">
        <v>9955.75</v>
      </c>
      <c r="D1140" s="42">
        <v>-3792.82</v>
      </c>
      <c r="E1140" s="39">
        <f>C1140/B1140*100</f>
        <v>161.54248060581574</v>
      </c>
    </row>
    <row r="1141" spans="1:5">
      <c r="A1141" s="40" t="s">
        <v>38</v>
      </c>
      <c r="B1141" s="41">
        <v>3132.63</v>
      </c>
      <c r="C1141" s="41">
        <v>1982.34</v>
      </c>
      <c r="D1141" s="42">
        <v>1150.29</v>
      </c>
      <c r="E1141" s="39">
        <f>C1141/B1141*100</f>
        <v>63.280374637285597</v>
      </c>
    </row>
    <row r="1142" spans="1:5">
      <c r="A1142" s="40" t="s">
        <v>43</v>
      </c>
      <c r="B1142" s="41">
        <v>20003.37</v>
      </c>
      <c r="C1142" s="41">
        <v>12657.13</v>
      </c>
      <c r="D1142" s="42">
        <v>7346.24</v>
      </c>
      <c r="E1142" s="39">
        <f>C1142/B1142*100</f>
        <v>63.274988164494282</v>
      </c>
    </row>
    <row r="1143" spans="1:5">
      <c r="A1143" s="43" t="s">
        <v>45</v>
      </c>
      <c r="B1143" s="44">
        <v>792319.93</v>
      </c>
      <c r="C1143" s="44">
        <v>518942.39</v>
      </c>
      <c r="D1143" s="45">
        <v>273377.53999999998</v>
      </c>
      <c r="E1143" s="46">
        <f>C1143/B1143*100</f>
        <v>65.496571568002835</v>
      </c>
    </row>
    <row r="1144" spans="1:5">
      <c r="A1144" s="54" t="s">
        <v>64</v>
      </c>
      <c r="B1144" s="54"/>
      <c r="C1144" s="54"/>
      <c r="D1144" s="54"/>
      <c r="E1144" s="39"/>
    </row>
    <row r="1145" spans="1:5">
      <c r="A1145" s="40" t="s">
        <v>52</v>
      </c>
      <c r="B1145" s="41">
        <v>-1667.53</v>
      </c>
      <c r="C1145" s="41">
        <v>-1898.21</v>
      </c>
      <c r="D1145" s="42">
        <v>0.49</v>
      </c>
      <c r="E1145" s="39">
        <f>C1145/B1145*100</f>
        <v>113.83363417749605</v>
      </c>
    </row>
    <row r="1146" spans="1:5">
      <c r="A1146" s="40" t="s">
        <v>39</v>
      </c>
      <c r="B1146" s="41">
        <v>0</v>
      </c>
      <c r="C1146" s="41">
        <v>949.03</v>
      </c>
      <c r="D1146" s="42">
        <v>-2139.9299999999998</v>
      </c>
      <c r="E1146" s="39"/>
    </row>
    <row r="1147" spans="1:5">
      <c r="A1147" s="40" t="s">
        <v>41</v>
      </c>
      <c r="B1147" s="41">
        <v>29574.47</v>
      </c>
      <c r="C1147" s="41">
        <v>32729.439999999999</v>
      </c>
      <c r="D1147" s="42">
        <v>1723.29</v>
      </c>
      <c r="E1147" s="39">
        <f t="shared" ref="E1147:E1155" si="50">C1147/B1147*100</f>
        <v>110.66788348193559</v>
      </c>
    </row>
    <row r="1148" spans="1:5">
      <c r="A1148" s="40" t="s">
        <v>46</v>
      </c>
      <c r="B1148" s="41">
        <v>275106.48</v>
      </c>
      <c r="C1148" s="41">
        <v>278910.15000000002</v>
      </c>
      <c r="D1148" s="42">
        <v>50282.75</v>
      </c>
      <c r="E1148" s="39">
        <f t="shared" si="50"/>
        <v>101.38261737782406</v>
      </c>
    </row>
    <row r="1149" spans="1:5">
      <c r="A1149" s="40" t="s">
        <v>37</v>
      </c>
      <c r="B1149" s="41">
        <v>18969.689999999999</v>
      </c>
      <c r="C1149" s="41">
        <v>20729.64</v>
      </c>
      <c r="D1149" s="42">
        <v>1171.03</v>
      </c>
      <c r="E1149" s="39">
        <f t="shared" si="50"/>
        <v>109.27769510202856</v>
      </c>
    </row>
    <row r="1150" spans="1:5">
      <c r="A1150" s="40" t="s">
        <v>135</v>
      </c>
      <c r="B1150" s="41">
        <v>45765.2</v>
      </c>
      <c r="C1150" s="41">
        <v>46846.12</v>
      </c>
      <c r="D1150" s="42">
        <v>2181.6999999999998</v>
      </c>
      <c r="E1150" s="39">
        <f t="shared" si="50"/>
        <v>102.36188195397378</v>
      </c>
    </row>
    <row r="1151" spans="1:5">
      <c r="A1151" s="40" t="s">
        <v>38</v>
      </c>
      <c r="B1151" s="41">
        <v>2640.52</v>
      </c>
      <c r="C1151" s="41">
        <v>2886.91</v>
      </c>
      <c r="D1151" s="42">
        <v>197.59</v>
      </c>
      <c r="E1151" s="39">
        <f t="shared" si="50"/>
        <v>109.33111659824579</v>
      </c>
    </row>
    <row r="1152" spans="1:5">
      <c r="A1152" s="40" t="s">
        <v>42</v>
      </c>
      <c r="B1152" s="41">
        <v>50885.64</v>
      </c>
      <c r="C1152" s="41">
        <v>49861.48</v>
      </c>
      <c r="D1152" s="42">
        <v>4933.4799999999996</v>
      </c>
      <c r="E1152" s="39">
        <f t="shared" si="50"/>
        <v>97.987330020807448</v>
      </c>
    </row>
    <row r="1153" spans="1:5">
      <c r="A1153" s="40" t="s">
        <v>33</v>
      </c>
      <c r="B1153" s="41">
        <v>58750.85</v>
      </c>
      <c r="C1153" s="41">
        <v>70145.289999999994</v>
      </c>
      <c r="D1153" s="42">
        <v>5218.3500000000004</v>
      </c>
      <c r="E1153" s="39">
        <f t="shared" si="50"/>
        <v>119.39451088792757</v>
      </c>
    </row>
    <row r="1154" spans="1:5">
      <c r="A1154" s="40" t="s">
        <v>51</v>
      </c>
      <c r="B1154" s="41">
        <v>119925.66</v>
      </c>
      <c r="C1154" s="41">
        <v>150012.84</v>
      </c>
      <c r="D1154" s="42">
        <v>-11733.54</v>
      </c>
      <c r="E1154" s="39">
        <f t="shared" si="50"/>
        <v>125.08819213502764</v>
      </c>
    </row>
    <row r="1155" spans="1:5">
      <c r="A1155" s="40" t="s">
        <v>47</v>
      </c>
      <c r="B1155" s="41">
        <v>1136.5999999999999</v>
      </c>
      <c r="C1155" s="41">
        <v>0</v>
      </c>
      <c r="D1155" s="42">
        <v>1136.5999999999999</v>
      </c>
      <c r="E1155" s="39">
        <f t="shared" si="50"/>
        <v>0</v>
      </c>
    </row>
    <row r="1156" spans="1:5">
      <c r="A1156" s="40" t="s">
        <v>34</v>
      </c>
      <c r="B1156" s="41">
        <v>0</v>
      </c>
      <c r="C1156" s="41">
        <v>229770.12</v>
      </c>
      <c r="D1156" s="42">
        <v>0</v>
      </c>
      <c r="E1156" s="39"/>
    </row>
    <row r="1157" spans="1:5">
      <c r="A1157" s="40" t="s">
        <v>40</v>
      </c>
      <c r="B1157" s="41">
        <v>5717.04</v>
      </c>
      <c r="C1157" s="41">
        <v>10473.09</v>
      </c>
      <c r="D1157" s="42">
        <v>24.34</v>
      </c>
      <c r="E1157" s="39">
        <f>C1157/B1157*100</f>
        <v>183.1907770454641</v>
      </c>
    </row>
    <row r="1158" spans="1:5">
      <c r="A1158" s="53" t="s">
        <v>96</v>
      </c>
      <c r="B1158" s="53"/>
      <c r="C1158" s="53"/>
      <c r="D1158" s="53"/>
      <c r="E1158" s="39"/>
    </row>
    <row r="1159" spans="1:5">
      <c r="A1159" s="36" t="s">
        <v>28</v>
      </c>
      <c r="B1159" s="36" t="s">
        <v>29</v>
      </c>
      <c r="C1159" s="36" t="s">
        <v>30</v>
      </c>
      <c r="D1159" s="37" t="s">
        <v>31</v>
      </c>
      <c r="E1159" s="39"/>
    </row>
    <row r="1160" spans="1:5">
      <c r="A1160" s="40" t="s">
        <v>50</v>
      </c>
      <c r="B1160" s="41">
        <v>11682.84</v>
      </c>
      <c r="C1160" s="41">
        <v>13829.72</v>
      </c>
      <c r="D1160" s="42">
        <v>-18.239999999999998</v>
      </c>
      <c r="E1160" s="39">
        <f>C1160/B1160*100</f>
        <v>118.37635369482078</v>
      </c>
    </row>
    <row r="1161" spans="1:5">
      <c r="A1161" s="40" t="s">
        <v>32</v>
      </c>
      <c r="B1161" s="41">
        <v>47021.52</v>
      </c>
      <c r="C1161" s="41">
        <v>56020.2</v>
      </c>
      <c r="D1161" s="42">
        <v>4176</v>
      </c>
      <c r="E1161" s="39">
        <f>C1161/B1161*100</f>
        <v>119.13736518938562</v>
      </c>
    </row>
    <row r="1162" spans="1:5">
      <c r="A1162" s="40" t="s">
        <v>43</v>
      </c>
      <c r="B1162" s="41">
        <v>16626.240000000002</v>
      </c>
      <c r="C1162" s="41">
        <v>20566.63</v>
      </c>
      <c r="D1162" s="42">
        <v>1256.01</v>
      </c>
      <c r="E1162" s="39">
        <f>C1162/B1162*100</f>
        <v>123.69982629867005</v>
      </c>
    </row>
    <row r="1163" spans="1:5">
      <c r="A1163" s="40" t="s">
        <v>53</v>
      </c>
      <c r="B1163" s="41">
        <v>-22808.62</v>
      </c>
      <c r="C1163" s="41">
        <v>-32163.88</v>
      </c>
      <c r="D1163" s="42">
        <v>125.75</v>
      </c>
      <c r="E1163" s="39">
        <f>C1163/B1163*100</f>
        <v>141.01633505227412</v>
      </c>
    </row>
    <row r="1164" spans="1:5">
      <c r="A1164" s="40" t="s">
        <v>36</v>
      </c>
      <c r="B1164" s="41">
        <v>56022.85</v>
      </c>
      <c r="C1164" s="41">
        <v>67498.259999999995</v>
      </c>
      <c r="D1164" s="42">
        <v>4977.74</v>
      </c>
      <c r="E1164" s="39">
        <f>C1164/B1164*100</f>
        <v>120.48344559407455</v>
      </c>
    </row>
    <row r="1165" spans="1:5">
      <c r="A1165" s="40" t="s">
        <v>44</v>
      </c>
      <c r="B1165" s="41">
        <v>0</v>
      </c>
      <c r="C1165" s="41">
        <v>-17228.3</v>
      </c>
      <c r="D1165" s="42">
        <v>0.01</v>
      </c>
      <c r="E1165" s="39"/>
    </row>
    <row r="1166" spans="1:5">
      <c r="A1166" s="43" t="s">
        <v>45</v>
      </c>
      <c r="B1166" s="44">
        <v>715349.45</v>
      </c>
      <c r="C1166" s="44">
        <v>999938.53</v>
      </c>
      <c r="D1166" s="45">
        <v>63513.42</v>
      </c>
      <c r="E1166" s="46">
        <f>C1166/B1166*100</f>
        <v>139.78322482808926</v>
      </c>
    </row>
    <row r="1167" spans="1:5">
      <c r="A1167" s="54" t="s">
        <v>65</v>
      </c>
      <c r="B1167" s="54"/>
      <c r="C1167" s="54"/>
      <c r="D1167" s="54"/>
      <c r="E1167" s="39"/>
    </row>
    <row r="1168" spans="1:5">
      <c r="A1168" s="40" t="s">
        <v>37</v>
      </c>
      <c r="B1168" s="41">
        <v>29237.26</v>
      </c>
      <c r="C1168" s="41">
        <v>32283.89</v>
      </c>
      <c r="D1168" s="42">
        <v>3145.29</v>
      </c>
      <c r="E1168" s="39">
        <f>C1168/B1168*100</f>
        <v>110.4203677088756</v>
      </c>
    </row>
    <row r="1169" spans="1:5">
      <c r="A1169" s="40" t="s">
        <v>41</v>
      </c>
      <c r="B1169" s="41">
        <v>45537.17</v>
      </c>
      <c r="C1169" s="41">
        <v>38472.1</v>
      </c>
      <c r="D1169" s="42">
        <v>17022.580000000002</v>
      </c>
      <c r="E1169" s="39">
        <f>C1169/B1169*100</f>
        <v>84.4850481485784</v>
      </c>
    </row>
    <row r="1170" spans="1:5">
      <c r="A1170" s="40" t="s">
        <v>34</v>
      </c>
      <c r="B1170" s="41">
        <v>0</v>
      </c>
      <c r="C1170" s="41">
        <v>12000.08</v>
      </c>
      <c r="D1170" s="42">
        <v>101802.65</v>
      </c>
      <c r="E1170" s="39"/>
    </row>
    <row r="1171" spans="1:5">
      <c r="A1171" s="40" t="s">
        <v>35</v>
      </c>
      <c r="B1171" s="41">
        <v>300700.26</v>
      </c>
      <c r="C1171" s="41">
        <v>248543.53</v>
      </c>
      <c r="D1171" s="42">
        <v>116001.55</v>
      </c>
      <c r="E1171" s="39">
        <f>C1171/B1171*100</f>
        <v>82.654910241846807</v>
      </c>
    </row>
    <row r="1172" spans="1:5">
      <c r="A1172" s="40" t="s">
        <v>135</v>
      </c>
      <c r="B1172" s="41">
        <v>48899.3</v>
      </c>
      <c r="C1172" s="41">
        <v>38571.279999999999</v>
      </c>
      <c r="D1172" s="42">
        <v>17898.63</v>
      </c>
      <c r="E1172" s="39">
        <f>C1172/B1172*100</f>
        <v>78.879002357906955</v>
      </c>
    </row>
    <row r="1173" spans="1:5">
      <c r="A1173" s="40" t="s">
        <v>32</v>
      </c>
      <c r="B1173" s="41">
        <v>45556.74</v>
      </c>
      <c r="C1173" s="41">
        <v>47930.07</v>
      </c>
      <c r="D1173" s="42">
        <v>14830.67</v>
      </c>
      <c r="E1173" s="39">
        <f>C1173/B1173*100</f>
        <v>105.20961333054122</v>
      </c>
    </row>
    <row r="1174" spans="1:5">
      <c r="A1174" s="40" t="s">
        <v>42</v>
      </c>
      <c r="B1174" s="41">
        <v>46851.839999999997</v>
      </c>
      <c r="C1174" s="41">
        <v>40396.14</v>
      </c>
      <c r="D1174" s="42">
        <v>13192.78</v>
      </c>
      <c r="E1174" s="39">
        <f>C1174/B1174*100</f>
        <v>86.221032087533814</v>
      </c>
    </row>
    <row r="1175" spans="1:5">
      <c r="A1175" s="40" t="s">
        <v>40</v>
      </c>
      <c r="B1175" s="41">
        <v>7987.92</v>
      </c>
      <c r="C1175" s="41">
        <v>6190.06</v>
      </c>
      <c r="D1175" s="42">
        <v>5298.18</v>
      </c>
      <c r="E1175" s="39">
        <f>C1175/B1175*100</f>
        <v>77.49276407375136</v>
      </c>
    </row>
    <row r="1176" spans="1:5">
      <c r="A1176" s="40" t="s">
        <v>39</v>
      </c>
      <c r="B1176" s="41">
        <v>0</v>
      </c>
      <c r="C1176" s="41">
        <v>667.67</v>
      </c>
      <c r="D1176" s="42">
        <v>-1423.49</v>
      </c>
      <c r="E1176" s="39"/>
    </row>
    <row r="1177" spans="1:5">
      <c r="A1177" s="40" t="s">
        <v>36</v>
      </c>
      <c r="B1177" s="41">
        <v>54278.46</v>
      </c>
      <c r="C1177" s="41">
        <v>57683.27</v>
      </c>
      <c r="D1177" s="42">
        <v>17833.810000000001</v>
      </c>
      <c r="E1177" s="39">
        <f t="shared" ref="E1177:E1184" si="51">C1177/B1177*100</f>
        <v>106.27285667279432</v>
      </c>
    </row>
    <row r="1178" spans="1:5">
      <c r="A1178" s="40" t="s">
        <v>53</v>
      </c>
      <c r="B1178" s="41">
        <v>-51082.43</v>
      </c>
      <c r="C1178" s="41">
        <v>-85238.080000000002</v>
      </c>
      <c r="D1178" s="42">
        <v>0</v>
      </c>
      <c r="E1178" s="39">
        <f t="shared" si="51"/>
        <v>166.86379250164879</v>
      </c>
    </row>
    <row r="1179" spans="1:5">
      <c r="A1179" s="40" t="s">
        <v>51</v>
      </c>
      <c r="B1179" s="41">
        <v>172139.14</v>
      </c>
      <c r="C1179" s="41">
        <v>219310.53</v>
      </c>
      <c r="D1179" s="42">
        <v>906.74</v>
      </c>
      <c r="E1179" s="39">
        <f t="shared" si="51"/>
        <v>127.40305894406117</v>
      </c>
    </row>
    <row r="1180" spans="1:5">
      <c r="A1180" s="40" t="s">
        <v>50</v>
      </c>
      <c r="B1180" s="41">
        <v>17950.400000000001</v>
      </c>
      <c r="C1180" s="41">
        <v>14808.58</v>
      </c>
      <c r="D1180" s="42">
        <v>8260.7000000000007</v>
      </c>
      <c r="E1180" s="39">
        <f t="shared" si="51"/>
        <v>82.497214546751039</v>
      </c>
    </row>
    <row r="1181" spans="1:5">
      <c r="A1181" s="40" t="s">
        <v>52</v>
      </c>
      <c r="B1181" s="41">
        <v>-7916.69</v>
      </c>
      <c r="C1181" s="41">
        <v>-8488.2099999999991</v>
      </c>
      <c r="D1181" s="42">
        <v>-822.34</v>
      </c>
      <c r="E1181" s="39">
        <f t="shared" si="51"/>
        <v>107.21917872242059</v>
      </c>
    </row>
    <row r="1182" spans="1:5">
      <c r="A1182" s="40" t="s">
        <v>33</v>
      </c>
      <c r="B1182" s="41">
        <v>56920.74</v>
      </c>
      <c r="C1182" s="41">
        <v>60041.05</v>
      </c>
      <c r="D1182" s="42">
        <v>18583.72</v>
      </c>
      <c r="E1182" s="39">
        <f t="shared" si="51"/>
        <v>105.48185072787177</v>
      </c>
    </row>
    <row r="1183" spans="1:5">
      <c r="A1183" s="40" t="s">
        <v>43</v>
      </c>
      <c r="B1183" s="41">
        <v>23927.279999999999</v>
      </c>
      <c r="C1183" s="41">
        <v>21569.3</v>
      </c>
      <c r="D1183" s="42">
        <v>6054.91</v>
      </c>
      <c r="E1183" s="39">
        <f t="shared" si="51"/>
        <v>90.145223360114485</v>
      </c>
    </row>
    <row r="1184" spans="1:5">
      <c r="A1184" s="40" t="s">
        <v>47</v>
      </c>
      <c r="B1184" s="41">
        <v>1101.2</v>
      </c>
      <c r="C1184" s="41">
        <v>70.400000000000006</v>
      </c>
      <c r="D1184" s="42">
        <v>1030.8</v>
      </c>
      <c r="E1184" s="39">
        <f t="shared" si="51"/>
        <v>6.3930257900472212</v>
      </c>
    </row>
    <row r="1185" spans="1:5">
      <c r="A1185" s="40" t="s">
        <v>44</v>
      </c>
      <c r="B1185" s="41">
        <v>0</v>
      </c>
      <c r="C1185" s="41">
        <v>-25842.33</v>
      </c>
      <c r="D1185" s="42">
        <v>2203.83</v>
      </c>
      <c r="E1185" s="39"/>
    </row>
    <row r="1186" spans="1:5">
      <c r="A1186" s="40" t="s">
        <v>38</v>
      </c>
      <c r="B1186" s="41">
        <v>3799.2</v>
      </c>
      <c r="C1186" s="41">
        <v>3549.47</v>
      </c>
      <c r="D1186" s="42">
        <v>949.54</v>
      </c>
      <c r="E1186" s="39">
        <f>C1186/B1186*100</f>
        <v>93.426774057696363</v>
      </c>
    </row>
    <row r="1187" spans="1:5">
      <c r="A1187" s="43" t="s">
        <v>45</v>
      </c>
      <c r="B1187" s="44">
        <v>795887.79</v>
      </c>
      <c r="C1187" s="44">
        <v>722518.8</v>
      </c>
      <c r="D1187" s="45">
        <v>342770.55</v>
      </c>
      <c r="E1187" s="46">
        <f>C1187/B1187*100</f>
        <v>90.781490692299727</v>
      </c>
    </row>
    <row r="1188" spans="1:5">
      <c r="A1188" s="54" t="s">
        <v>66</v>
      </c>
      <c r="B1188" s="54"/>
      <c r="C1188" s="54"/>
      <c r="D1188" s="54"/>
      <c r="E1188" s="39"/>
    </row>
    <row r="1189" spans="1:5">
      <c r="A1189" s="40" t="s">
        <v>37</v>
      </c>
      <c r="B1189" s="41">
        <v>18438.29</v>
      </c>
      <c r="C1189" s="41">
        <v>12028.65</v>
      </c>
      <c r="D1189" s="42">
        <v>12599.86</v>
      </c>
      <c r="E1189" s="39">
        <f t="shared" ref="E1189:E1197" si="52">C1189/B1189*100</f>
        <v>65.237340339044451</v>
      </c>
    </row>
    <row r="1190" spans="1:5">
      <c r="A1190" s="40" t="s">
        <v>38</v>
      </c>
      <c r="B1190" s="41">
        <v>3506.82</v>
      </c>
      <c r="C1190" s="41">
        <v>3064.24</v>
      </c>
      <c r="D1190" s="42">
        <v>1265.73</v>
      </c>
      <c r="E1190" s="39">
        <f t="shared" si="52"/>
        <v>87.379449187583049</v>
      </c>
    </row>
    <row r="1191" spans="1:5">
      <c r="A1191" s="40" t="s">
        <v>40</v>
      </c>
      <c r="B1191" s="41">
        <v>10885.08</v>
      </c>
      <c r="C1191" s="41">
        <v>13063.25</v>
      </c>
      <c r="D1191" s="42">
        <v>4852.6400000000003</v>
      </c>
      <c r="E1191" s="39">
        <f t="shared" si="52"/>
        <v>120.01060166760374</v>
      </c>
    </row>
    <row r="1192" spans="1:5">
      <c r="A1192" s="40" t="s">
        <v>43</v>
      </c>
      <c r="B1192" s="41">
        <v>22086.54</v>
      </c>
      <c r="C1192" s="41">
        <v>19289.61</v>
      </c>
      <c r="D1192" s="42">
        <v>8103.27</v>
      </c>
      <c r="E1192" s="39">
        <f t="shared" si="52"/>
        <v>87.336495440209276</v>
      </c>
    </row>
    <row r="1193" spans="1:5">
      <c r="A1193" s="40" t="s">
        <v>51</v>
      </c>
      <c r="B1193" s="41">
        <v>98388.57</v>
      </c>
      <c r="C1193" s="41">
        <v>74007.8</v>
      </c>
      <c r="D1193" s="42">
        <v>54731.38</v>
      </c>
      <c r="E1193" s="39">
        <f t="shared" si="52"/>
        <v>75.219916297187766</v>
      </c>
    </row>
    <row r="1194" spans="1:5">
      <c r="A1194" s="40" t="s">
        <v>35</v>
      </c>
      <c r="B1194" s="41">
        <v>307799.94</v>
      </c>
      <c r="C1194" s="41">
        <v>272668.59000000003</v>
      </c>
      <c r="D1194" s="42">
        <v>132168.6</v>
      </c>
      <c r="E1194" s="39">
        <f t="shared" si="52"/>
        <v>88.586303817992956</v>
      </c>
    </row>
    <row r="1195" spans="1:5">
      <c r="A1195" s="40" t="s">
        <v>33</v>
      </c>
      <c r="B1195" s="41">
        <v>58264.86</v>
      </c>
      <c r="C1195" s="41">
        <v>57329.05</v>
      </c>
      <c r="D1195" s="42">
        <v>24392.06</v>
      </c>
      <c r="E1195" s="39">
        <f t="shared" si="52"/>
        <v>98.393868963213848</v>
      </c>
    </row>
    <row r="1196" spans="1:5">
      <c r="A1196" s="40" t="s">
        <v>32</v>
      </c>
      <c r="B1196" s="41">
        <v>46632.42</v>
      </c>
      <c r="C1196" s="41">
        <v>45745.56</v>
      </c>
      <c r="D1196" s="42">
        <v>19473.8</v>
      </c>
      <c r="E1196" s="39">
        <f t="shared" si="52"/>
        <v>98.098190057475037</v>
      </c>
    </row>
    <row r="1197" spans="1:5">
      <c r="A1197" s="40" t="s">
        <v>42</v>
      </c>
      <c r="B1197" s="41">
        <v>45249.48</v>
      </c>
      <c r="C1197" s="41">
        <v>40105.35</v>
      </c>
      <c r="D1197" s="42">
        <v>15363.54</v>
      </c>
      <c r="E1197" s="39">
        <f t="shared" si="52"/>
        <v>88.631626263992416</v>
      </c>
    </row>
    <row r="1198" spans="1:5">
      <c r="A1198" s="40" t="s">
        <v>39</v>
      </c>
      <c r="B1198" s="41">
        <v>0</v>
      </c>
      <c r="C1198" s="41">
        <v>769.67</v>
      </c>
      <c r="D1198" s="42">
        <v>-1427.64</v>
      </c>
      <c r="E1198" s="39"/>
    </row>
    <row r="1199" spans="1:5">
      <c r="A1199" s="40" t="s">
        <v>52</v>
      </c>
      <c r="B1199" s="41">
        <v>-79.5</v>
      </c>
      <c r="C1199" s="41">
        <v>-164.7</v>
      </c>
      <c r="D1199" s="42">
        <v>51.69</v>
      </c>
      <c r="E1199" s="39">
        <f t="shared" ref="E1199:E1204" si="53">C1199/B1199*100</f>
        <v>207.16981132075469</v>
      </c>
    </row>
    <row r="1200" spans="1:5">
      <c r="A1200" s="40" t="s">
        <v>53</v>
      </c>
      <c r="B1200" s="41">
        <v>-1167.31</v>
      </c>
      <c r="C1200" s="41">
        <v>-1673.88</v>
      </c>
      <c r="D1200" s="42">
        <v>381.51</v>
      </c>
      <c r="E1200" s="39">
        <f t="shared" si="53"/>
        <v>143.39635572384373</v>
      </c>
    </row>
    <row r="1201" spans="1:5">
      <c r="A1201" s="40" t="s">
        <v>41</v>
      </c>
      <c r="B1201" s="41">
        <v>30748.560000000001</v>
      </c>
      <c r="C1201" s="41">
        <v>21275.45</v>
      </c>
      <c r="D1201" s="42">
        <v>20405.939999999999</v>
      </c>
      <c r="E1201" s="39">
        <f t="shared" si="53"/>
        <v>69.191695481024155</v>
      </c>
    </row>
    <row r="1202" spans="1:5">
      <c r="A1202" s="40" t="s">
        <v>47</v>
      </c>
      <c r="B1202" s="41">
        <v>1127.2</v>
      </c>
      <c r="C1202" s="41">
        <v>0</v>
      </c>
      <c r="D1202" s="42">
        <v>1127.2</v>
      </c>
      <c r="E1202" s="39">
        <f t="shared" si="53"/>
        <v>0</v>
      </c>
    </row>
    <row r="1203" spans="1:5">
      <c r="A1203" s="40" t="s">
        <v>135</v>
      </c>
      <c r="B1203" s="41">
        <v>42275.46</v>
      </c>
      <c r="C1203" s="41">
        <v>38348.53</v>
      </c>
      <c r="D1203" s="42">
        <v>12595.46</v>
      </c>
      <c r="E1203" s="39">
        <f t="shared" si="53"/>
        <v>90.711088655215093</v>
      </c>
    </row>
    <row r="1204" spans="1:5">
      <c r="A1204" s="40" t="s">
        <v>36</v>
      </c>
      <c r="B1204" s="41">
        <v>55559.7</v>
      </c>
      <c r="C1204" s="41">
        <v>54874.16</v>
      </c>
      <c r="D1204" s="42">
        <v>23390.07</v>
      </c>
      <c r="E1204" s="39">
        <f t="shared" si="53"/>
        <v>98.766120047444474</v>
      </c>
    </row>
    <row r="1205" spans="1:5">
      <c r="A1205" s="40" t="s">
        <v>34</v>
      </c>
      <c r="B1205" s="41">
        <v>0</v>
      </c>
      <c r="C1205" s="41">
        <v>121346.29</v>
      </c>
      <c r="D1205" s="42">
        <v>382487.57</v>
      </c>
      <c r="E1205" s="39"/>
    </row>
    <row r="1206" spans="1:5">
      <c r="A1206" s="40" t="s">
        <v>44</v>
      </c>
      <c r="B1206" s="41">
        <v>0</v>
      </c>
      <c r="C1206" s="41">
        <v>-14798.2</v>
      </c>
      <c r="D1206" s="42">
        <v>2766.59</v>
      </c>
      <c r="E1206" s="39"/>
    </row>
    <row r="1207" spans="1:5">
      <c r="A1207" s="40" t="s">
        <v>50</v>
      </c>
      <c r="B1207" s="41">
        <v>13460.47</v>
      </c>
      <c r="C1207" s="41">
        <v>10473.76</v>
      </c>
      <c r="D1207" s="42">
        <v>8203.99</v>
      </c>
      <c r="E1207" s="39">
        <f>C1207/B1207*100</f>
        <v>77.811250275807609</v>
      </c>
    </row>
    <row r="1208" spans="1:5">
      <c r="A1208" s="43" t="s">
        <v>45</v>
      </c>
      <c r="B1208" s="44">
        <v>753176.58</v>
      </c>
      <c r="C1208" s="44">
        <v>767753.18</v>
      </c>
      <c r="D1208" s="45">
        <v>722933.26</v>
      </c>
      <c r="E1208" s="46">
        <f>C1208/B1208*100</f>
        <v>101.93534960951655</v>
      </c>
    </row>
    <row r="1209" spans="1:5">
      <c r="A1209" s="54" t="s">
        <v>67</v>
      </c>
      <c r="B1209" s="54"/>
      <c r="C1209" s="54"/>
      <c r="D1209" s="54"/>
      <c r="E1209" s="39"/>
    </row>
    <row r="1210" spans="1:5">
      <c r="A1210" s="40" t="s">
        <v>44</v>
      </c>
      <c r="B1210" s="41">
        <v>0</v>
      </c>
      <c r="C1210" s="41">
        <v>-9806.23</v>
      </c>
      <c r="D1210" s="42">
        <v>1153.52</v>
      </c>
      <c r="E1210" s="39"/>
    </row>
    <row r="1211" spans="1:5">
      <c r="A1211" s="40" t="s">
        <v>35</v>
      </c>
      <c r="B1211" s="41">
        <v>314735.82</v>
      </c>
      <c r="C1211" s="41">
        <v>271869.08</v>
      </c>
      <c r="D1211" s="42">
        <v>103933.88</v>
      </c>
      <c r="E1211" s="39">
        <f>C1211/B1211*100</f>
        <v>86.380088545371166</v>
      </c>
    </row>
    <row r="1212" spans="1:5">
      <c r="A1212" s="40" t="s">
        <v>34</v>
      </c>
      <c r="B1212" s="41">
        <v>0</v>
      </c>
      <c r="C1212" s="41">
        <v>30176.89</v>
      </c>
      <c r="D1212" s="42">
        <v>163674.37</v>
      </c>
      <c r="E1212" s="39"/>
    </row>
    <row r="1213" spans="1:5">
      <c r="A1213" s="40" t="s">
        <v>40</v>
      </c>
      <c r="B1213" s="41">
        <v>27210.720000000001</v>
      </c>
      <c r="C1213" s="41">
        <v>21040.28</v>
      </c>
      <c r="D1213" s="42">
        <v>11905.21</v>
      </c>
      <c r="E1213" s="39">
        <f t="shared" ref="E1213:E1225" si="54">C1213/B1213*100</f>
        <v>77.323496033916044</v>
      </c>
    </row>
    <row r="1214" spans="1:5">
      <c r="A1214" s="40" t="s">
        <v>52</v>
      </c>
      <c r="B1214" s="41">
        <v>-1000.11</v>
      </c>
      <c r="C1214" s="41">
        <v>-1116.42</v>
      </c>
      <c r="D1214" s="42">
        <v>0</v>
      </c>
      <c r="E1214" s="39">
        <f t="shared" si="54"/>
        <v>111.62972073071961</v>
      </c>
    </row>
    <row r="1215" spans="1:5">
      <c r="A1215" s="40" t="s">
        <v>50</v>
      </c>
      <c r="B1215" s="41">
        <v>12845.22</v>
      </c>
      <c r="C1215" s="41">
        <v>12210.51</v>
      </c>
      <c r="D1215" s="42">
        <v>7008.3</v>
      </c>
      <c r="E1215" s="39">
        <f t="shared" si="54"/>
        <v>95.058784512838244</v>
      </c>
    </row>
    <row r="1216" spans="1:5">
      <c r="A1216" s="40" t="s">
        <v>33</v>
      </c>
      <c r="B1216" s="41">
        <v>59577.78</v>
      </c>
      <c r="C1216" s="41">
        <v>55691.7</v>
      </c>
      <c r="D1216" s="42">
        <v>18467.099999999999</v>
      </c>
      <c r="E1216" s="39">
        <f t="shared" si="54"/>
        <v>93.477299758399852</v>
      </c>
    </row>
    <row r="1217" spans="1:5">
      <c r="A1217" s="40" t="s">
        <v>37</v>
      </c>
      <c r="B1217" s="41">
        <v>15691.79</v>
      </c>
      <c r="C1217" s="41">
        <v>15952</v>
      </c>
      <c r="D1217" s="42">
        <v>6487.53</v>
      </c>
      <c r="E1217" s="39">
        <f t="shared" si="54"/>
        <v>101.6582556865724</v>
      </c>
    </row>
    <row r="1218" spans="1:5">
      <c r="A1218" s="40" t="s">
        <v>42</v>
      </c>
      <c r="B1218" s="41">
        <v>30188.76</v>
      </c>
      <c r="C1218" s="41">
        <v>29966.92</v>
      </c>
      <c r="D1218" s="42">
        <v>4413.59</v>
      </c>
      <c r="E1218" s="39">
        <f t="shared" si="54"/>
        <v>99.265156965705117</v>
      </c>
    </row>
    <row r="1219" spans="1:5">
      <c r="A1219" s="40" t="s">
        <v>41</v>
      </c>
      <c r="B1219" s="41">
        <v>27546.61</v>
      </c>
      <c r="C1219" s="41">
        <v>26676.91</v>
      </c>
      <c r="D1219" s="42">
        <v>13468.5</v>
      </c>
      <c r="E1219" s="39">
        <f t="shared" si="54"/>
        <v>96.84280570277069</v>
      </c>
    </row>
    <row r="1220" spans="1:5">
      <c r="A1220" s="40" t="s">
        <v>32</v>
      </c>
      <c r="B1220" s="41">
        <v>47683.26</v>
      </c>
      <c r="C1220" s="41">
        <v>44503.13</v>
      </c>
      <c r="D1220" s="42">
        <v>14756.43</v>
      </c>
      <c r="E1220" s="39">
        <f t="shared" si="54"/>
        <v>93.33072025696228</v>
      </c>
    </row>
    <row r="1221" spans="1:5">
      <c r="A1221" s="40" t="s">
        <v>53</v>
      </c>
      <c r="B1221" s="41">
        <v>-22263.59</v>
      </c>
      <c r="C1221" s="41">
        <v>-43460.85</v>
      </c>
      <c r="D1221" s="42">
        <v>0.01</v>
      </c>
      <c r="E1221" s="39">
        <f t="shared" si="54"/>
        <v>195.21043102213073</v>
      </c>
    </row>
    <row r="1222" spans="1:5">
      <c r="A1222" s="40" t="s">
        <v>47</v>
      </c>
      <c r="B1222" s="41">
        <v>1152.5999999999999</v>
      </c>
      <c r="C1222" s="41">
        <v>0</v>
      </c>
      <c r="D1222" s="42">
        <v>1152.5999999999999</v>
      </c>
      <c r="E1222" s="39">
        <f t="shared" si="54"/>
        <v>0</v>
      </c>
    </row>
    <row r="1223" spans="1:5">
      <c r="A1223" s="40" t="s">
        <v>36</v>
      </c>
      <c r="B1223" s="41">
        <v>56811.72</v>
      </c>
      <c r="C1223" s="41">
        <v>53518.47</v>
      </c>
      <c r="D1223" s="42">
        <v>17834.759999999998</v>
      </c>
      <c r="E1223" s="39">
        <f t="shared" si="54"/>
        <v>94.203220743888764</v>
      </c>
    </row>
    <row r="1224" spans="1:5">
      <c r="A1224" s="40" t="s">
        <v>51</v>
      </c>
      <c r="B1224" s="41">
        <v>128853.3</v>
      </c>
      <c r="C1224" s="41">
        <v>160219.85</v>
      </c>
      <c r="D1224" s="42">
        <v>22034.01</v>
      </c>
      <c r="E1224" s="39">
        <f t="shared" si="54"/>
        <v>124.34283794051065</v>
      </c>
    </row>
    <row r="1225" spans="1:5">
      <c r="A1225" s="40" t="s">
        <v>38</v>
      </c>
      <c r="B1225" s="41">
        <v>3580.24</v>
      </c>
      <c r="C1225" s="41">
        <v>3038.43</v>
      </c>
      <c r="D1225" s="42">
        <v>1411.29</v>
      </c>
      <c r="E1225" s="39">
        <f t="shared" si="54"/>
        <v>84.866656983889342</v>
      </c>
    </row>
    <row r="1226" spans="1:5">
      <c r="A1226" s="40" t="s">
        <v>39</v>
      </c>
      <c r="B1226" s="41">
        <v>0</v>
      </c>
      <c r="C1226" s="41">
        <v>516.42999999999995</v>
      </c>
      <c r="D1226" s="42">
        <v>-1725.05</v>
      </c>
      <c r="E1226" s="39"/>
    </row>
    <row r="1227" spans="1:5">
      <c r="A1227" s="53" t="s">
        <v>96</v>
      </c>
      <c r="B1227" s="53"/>
      <c r="C1227" s="53"/>
      <c r="D1227" s="53"/>
      <c r="E1227" s="39"/>
    </row>
    <row r="1228" spans="1:5">
      <c r="A1228" s="36" t="s">
        <v>28</v>
      </c>
      <c r="B1228" s="36" t="s">
        <v>29</v>
      </c>
      <c r="C1228" s="36" t="s">
        <v>30</v>
      </c>
      <c r="D1228" s="37" t="s">
        <v>31</v>
      </c>
      <c r="E1228" s="39"/>
    </row>
    <row r="1229" spans="1:5">
      <c r="A1229" s="40" t="s">
        <v>135</v>
      </c>
      <c r="B1229" s="41">
        <v>53307.91</v>
      </c>
      <c r="C1229" s="41">
        <v>45569.47</v>
      </c>
      <c r="D1229" s="42">
        <v>9472.66</v>
      </c>
      <c r="E1229" s="39">
        <f>C1229/B1229*100</f>
        <v>85.483505168369945</v>
      </c>
    </row>
    <row r="1230" spans="1:5">
      <c r="A1230" s="40" t="s">
        <v>43</v>
      </c>
      <c r="B1230" s="41">
        <v>22554.5</v>
      </c>
      <c r="C1230" s="41">
        <v>19303.75</v>
      </c>
      <c r="D1230" s="42">
        <v>9000.41</v>
      </c>
      <c r="E1230" s="39">
        <f>C1230/B1230*100</f>
        <v>85.587133388015687</v>
      </c>
    </row>
    <row r="1231" spans="1:5">
      <c r="A1231" s="43" t="s">
        <v>45</v>
      </c>
      <c r="B1231" s="44">
        <v>778476.53</v>
      </c>
      <c r="C1231" s="44">
        <v>735870.32</v>
      </c>
      <c r="D1231" s="45">
        <v>404449.12</v>
      </c>
      <c r="E1231" s="46">
        <f>C1231/B1231*100</f>
        <v>94.526975655900628</v>
      </c>
    </row>
    <row r="1232" spans="1:5">
      <c r="A1232" s="54" t="s">
        <v>68</v>
      </c>
      <c r="B1232" s="54"/>
      <c r="C1232" s="54"/>
      <c r="D1232" s="54"/>
      <c r="E1232" s="39"/>
    </row>
    <row r="1233" spans="1:5">
      <c r="A1233" s="40" t="s">
        <v>50</v>
      </c>
      <c r="B1233" s="41">
        <v>12326.44</v>
      </c>
      <c r="C1233" s="41">
        <v>9760.2099999999991</v>
      </c>
      <c r="D1233" s="42">
        <v>4870.17</v>
      </c>
      <c r="E1233" s="39">
        <f t="shared" ref="E1233:E1243" si="55">C1233/B1233*100</f>
        <v>79.181093649098997</v>
      </c>
    </row>
    <row r="1234" spans="1:5">
      <c r="A1234" s="40" t="s">
        <v>40</v>
      </c>
      <c r="B1234" s="41">
        <v>22818.36</v>
      </c>
      <c r="C1234" s="41">
        <v>21943.93</v>
      </c>
      <c r="D1234" s="42">
        <v>881.52</v>
      </c>
      <c r="E1234" s="39">
        <f t="shared" si="55"/>
        <v>96.16786657761557</v>
      </c>
    </row>
    <row r="1235" spans="1:5">
      <c r="A1235" s="40" t="s">
        <v>35</v>
      </c>
      <c r="B1235" s="41">
        <v>318340.32</v>
      </c>
      <c r="C1235" s="41">
        <v>272715.28000000003</v>
      </c>
      <c r="D1235" s="42">
        <v>90482.48</v>
      </c>
      <c r="E1235" s="39">
        <f t="shared" si="55"/>
        <v>85.667841258688199</v>
      </c>
    </row>
    <row r="1236" spans="1:5">
      <c r="A1236" s="40" t="s">
        <v>51</v>
      </c>
      <c r="B1236" s="41">
        <v>97445.37</v>
      </c>
      <c r="C1236" s="41">
        <v>80005.39</v>
      </c>
      <c r="D1236" s="42">
        <v>35080.339999999997</v>
      </c>
      <c r="E1236" s="39">
        <f t="shared" si="55"/>
        <v>82.10281309414701</v>
      </c>
    </row>
    <row r="1237" spans="1:5">
      <c r="A1237" s="40" t="s">
        <v>52</v>
      </c>
      <c r="B1237" s="41">
        <v>-216.37</v>
      </c>
      <c r="C1237" s="41">
        <v>-551.26</v>
      </c>
      <c r="D1237" s="42">
        <v>22.75</v>
      </c>
      <c r="E1237" s="39">
        <f t="shared" si="55"/>
        <v>254.77654018579284</v>
      </c>
    </row>
    <row r="1238" spans="1:5">
      <c r="A1238" s="40" t="s">
        <v>36</v>
      </c>
      <c r="B1238" s="41">
        <v>57462.18</v>
      </c>
      <c r="C1238" s="41">
        <v>59889.22</v>
      </c>
      <c r="D1238" s="42">
        <v>15907.59</v>
      </c>
      <c r="E1238" s="39">
        <f t="shared" si="55"/>
        <v>104.22371723453583</v>
      </c>
    </row>
    <row r="1239" spans="1:5">
      <c r="A1239" s="40" t="s">
        <v>53</v>
      </c>
      <c r="B1239" s="41">
        <v>455.64</v>
      </c>
      <c r="C1239" s="41">
        <v>-2059.96</v>
      </c>
      <c r="D1239" s="42">
        <v>110.48</v>
      </c>
      <c r="E1239" s="39">
        <f t="shared" si="55"/>
        <v>-452.10253709068564</v>
      </c>
    </row>
    <row r="1240" spans="1:5">
      <c r="A1240" s="40" t="s">
        <v>135</v>
      </c>
      <c r="B1240" s="41">
        <v>53119.519999999997</v>
      </c>
      <c r="C1240" s="41">
        <v>41195.39</v>
      </c>
      <c r="D1240" s="42">
        <v>14091.32</v>
      </c>
      <c r="E1240" s="39">
        <f t="shared" si="55"/>
        <v>77.552263273463325</v>
      </c>
    </row>
    <row r="1241" spans="1:5">
      <c r="A1241" s="40" t="s">
        <v>38</v>
      </c>
      <c r="B1241" s="41">
        <v>2322.21</v>
      </c>
      <c r="C1241" s="41">
        <v>1818.28</v>
      </c>
      <c r="D1241" s="42">
        <v>102.36</v>
      </c>
      <c r="E1241" s="39">
        <f t="shared" si="55"/>
        <v>78.299550858880124</v>
      </c>
    </row>
    <row r="1242" spans="1:5">
      <c r="A1242" s="40" t="s">
        <v>33</v>
      </c>
      <c r="B1242" s="41">
        <v>60260.17</v>
      </c>
      <c r="C1242" s="41">
        <v>61998.76</v>
      </c>
      <c r="D1242" s="42">
        <v>16652.03</v>
      </c>
      <c r="E1242" s="39">
        <f t="shared" si="55"/>
        <v>102.88513955403711</v>
      </c>
    </row>
    <row r="1243" spans="1:5">
      <c r="A1243" s="40" t="s">
        <v>32</v>
      </c>
      <c r="B1243" s="41">
        <v>48229.49</v>
      </c>
      <c r="C1243" s="41">
        <v>49499.1</v>
      </c>
      <c r="D1243" s="42">
        <v>13311.23</v>
      </c>
      <c r="E1243" s="39">
        <f t="shared" si="55"/>
        <v>102.63243505166653</v>
      </c>
    </row>
    <row r="1244" spans="1:5">
      <c r="A1244" s="40" t="s">
        <v>39</v>
      </c>
      <c r="B1244" s="41">
        <v>0</v>
      </c>
      <c r="C1244" s="41">
        <v>522.32000000000005</v>
      </c>
      <c r="D1244" s="42">
        <v>-1719.29</v>
      </c>
      <c r="E1244" s="39"/>
    </row>
    <row r="1245" spans="1:5">
      <c r="A1245" s="40" t="s">
        <v>43</v>
      </c>
      <c r="B1245" s="41">
        <v>14620.98</v>
      </c>
      <c r="C1245" s="41">
        <v>12617.57</v>
      </c>
      <c r="D1245" s="42">
        <v>4026.63</v>
      </c>
      <c r="E1245" s="39">
        <f>C1245/B1245*100</f>
        <v>86.297703710695188</v>
      </c>
    </row>
    <row r="1246" spans="1:5">
      <c r="A1246" s="40" t="s">
        <v>37</v>
      </c>
      <c r="B1246" s="41">
        <v>17467.900000000001</v>
      </c>
      <c r="C1246" s="41">
        <v>14382.61</v>
      </c>
      <c r="D1246" s="42">
        <v>6217.51</v>
      </c>
      <c r="E1246" s="39">
        <f>C1246/B1246*100</f>
        <v>82.337373124416786</v>
      </c>
    </row>
    <row r="1247" spans="1:5">
      <c r="A1247" s="40" t="s">
        <v>44</v>
      </c>
      <c r="B1247" s="41">
        <v>0</v>
      </c>
      <c r="C1247" s="41">
        <v>-24285.45</v>
      </c>
      <c r="D1247" s="42">
        <v>146.91</v>
      </c>
      <c r="E1247" s="39"/>
    </row>
    <row r="1248" spans="1:5">
      <c r="A1248" s="40" t="s">
        <v>34</v>
      </c>
      <c r="B1248" s="41">
        <v>0</v>
      </c>
      <c r="C1248" s="41">
        <v>-3297.18</v>
      </c>
      <c r="D1248" s="42">
        <v>249.67</v>
      </c>
      <c r="E1248" s="39"/>
    </row>
    <row r="1249" spans="1:5">
      <c r="A1249" s="40" t="s">
        <v>41</v>
      </c>
      <c r="B1249" s="41">
        <v>28743.57</v>
      </c>
      <c r="C1249" s="41">
        <v>23279.48</v>
      </c>
      <c r="D1249" s="42">
        <v>11075.24</v>
      </c>
      <c r="E1249" s="39">
        <f>C1249/B1249*100</f>
        <v>80.990217986144373</v>
      </c>
    </row>
    <row r="1250" spans="1:5">
      <c r="A1250" s="40" t="s">
        <v>47</v>
      </c>
      <c r="B1250" s="41">
        <v>4748.12</v>
      </c>
      <c r="C1250" s="41">
        <v>230.6</v>
      </c>
      <c r="D1250" s="42">
        <v>1165.8</v>
      </c>
      <c r="E1250" s="39">
        <f>C1250/B1250*100</f>
        <v>4.8566590566371532</v>
      </c>
    </row>
    <row r="1251" spans="1:5">
      <c r="A1251" s="40" t="s">
        <v>42</v>
      </c>
      <c r="B1251" s="41">
        <v>31553.279999999999</v>
      </c>
      <c r="C1251" s="41">
        <v>24453.47</v>
      </c>
      <c r="D1251" s="42">
        <v>12521.11</v>
      </c>
      <c r="E1251" s="39">
        <f>C1251/B1251*100</f>
        <v>77.498979503874082</v>
      </c>
    </row>
    <row r="1252" spans="1:5">
      <c r="A1252" s="43" t="s">
        <v>45</v>
      </c>
      <c r="B1252" s="44">
        <v>769697.18</v>
      </c>
      <c r="C1252" s="44">
        <v>644117.76000000001</v>
      </c>
      <c r="D1252" s="45">
        <v>225195.85</v>
      </c>
      <c r="E1252" s="46">
        <f>C1252/B1252*100</f>
        <v>83.684568001145593</v>
      </c>
    </row>
    <row r="1253" spans="1:5">
      <c r="A1253" s="54" t="s">
        <v>69</v>
      </c>
      <c r="B1253" s="54"/>
      <c r="C1253" s="54"/>
      <c r="D1253" s="54"/>
      <c r="E1253" s="39"/>
    </row>
    <row r="1254" spans="1:5">
      <c r="A1254" s="40" t="s">
        <v>34</v>
      </c>
      <c r="B1254" s="41">
        <v>0</v>
      </c>
      <c r="C1254" s="41">
        <v>-6016.91</v>
      </c>
      <c r="D1254" s="42">
        <v>453796.41</v>
      </c>
      <c r="E1254" s="39"/>
    </row>
    <row r="1255" spans="1:5">
      <c r="A1255" s="40" t="s">
        <v>135</v>
      </c>
      <c r="B1255" s="41">
        <v>42408.08</v>
      </c>
      <c r="C1255" s="41">
        <v>33295.89</v>
      </c>
      <c r="D1255" s="42">
        <v>12836.6</v>
      </c>
      <c r="E1255" s="39">
        <f>C1255/B1255*100</f>
        <v>78.513080526163876</v>
      </c>
    </row>
    <row r="1256" spans="1:5">
      <c r="A1256" s="40" t="s">
        <v>47</v>
      </c>
      <c r="B1256" s="41">
        <v>1144</v>
      </c>
      <c r="C1256" s="41">
        <v>0</v>
      </c>
      <c r="D1256" s="42">
        <v>1144</v>
      </c>
      <c r="E1256" s="39">
        <f>C1256/B1256*100</f>
        <v>0</v>
      </c>
    </row>
    <row r="1257" spans="1:5">
      <c r="A1257" s="40" t="s">
        <v>50</v>
      </c>
      <c r="B1257" s="41">
        <v>14748.71</v>
      </c>
      <c r="C1257" s="41">
        <v>10370.14</v>
      </c>
      <c r="D1257" s="42">
        <v>9780.2999999999993</v>
      </c>
      <c r="E1257" s="39">
        <f>C1257/B1257*100</f>
        <v>70.312183235008348</v>
      </c>
    </row>
    <row r="1258" spans="1:5">
      <c r="A1258" s="40" t="s">
        <v>39</v>
      </c>
      <c r="B1258" s="41">
        <v>0</v>
      </c>
      <c r="C1258" s="41">
        <v>765.69</v>
      </c>
      <c r="D1258" s="42">
        <v>-1619.45</v>
      </c>
      <c r="E1258" s="39"/>
    </row>
    <row r="1259" spans="1:5">
      <c r="A1259" s="40" t="s">
        <v>44</v>
      </c>
      <c r="B1259" s="41">
        <v>0</v>
      </c>
      <c r="C1259" s="41">
        <v>-21824.52</v>
      </c>
      <c r="D1259" s="42">
        <v>2500.34</v>
      </c>
      <c r="E1259" s="39"/>
    </row>
    <row r="1260" spans="1:5">
      <c r="A1260" s="40" t="s">
        <v>35</v>
      </c>
      <c r="B1260" s="41">
        <v>312387.48</v>
      </c>
      <c r="C1260" s="41">
        <v>275388.94</v>
      </c>
      <c r="D1260" s="42">
        <v>86306.65</v>
      </c>
      <c r="E1260" s="39">
        <f t="shared" ref="E1260:E1273" si="56">C1260/B1260*100</f>
        <v>88.156202674959957</v>
      </c>
    </row>
    <row r="1261" spans="1:5">
      <c r="A1261" s="40" t="s">
        <v>43</v>
      </c>
      <c r="B1261" s="41">
        <v>23099.81</v>
      </c>
      <c r="C1261" s="41">
        <v>16762.080000000002</v>
      </c>
      <c r="D1261" s="42">
        <v>13443.37</v>
      </c>
      <c r="E1261" s="39">
        <f t="shared" si="56"/>
        <v>72.563713727515506</v>
      </c>
    </row>
    <row r="1262" spans="1:5">
      <c r="A1262" s="40" t="s">
        <v>51</v>
      </c>
      <c r="B1262" s="41">
        <v>127812.27</v>
      </c>
      <c r="C1262" s="41">
        <v>90994.08</v>
      </c>
      <c r="D1262" s="42">
        <v>70894.929999999993</v>
      </c>
      <c r="E1262" s="39">
        <f t="shared" si="56"/>
        <v>71.193540338498025</v>
      </c>
    </row>
    <row r="1263" spans="1:5">
      <c r="A1263" s="40" t="s">
        <v>38</v>
      </c>
      <c r="B1263" s="41">
        <v>3667.24</v>
      </c>
      <c r="C1263" s="41">
        <v>2687.87</v>
      </c>
      <c r="D1263" s="42">
        <v>2093.54</v>
      </c>
      <c r="E1263" s="39">
        <f t="shared" si="56"/>
        <v>73.294084924902663</v>
      </c>
    </row>
    <row r="1264" spans="1:5">
      <c r="A1264" s="40" t="s">
        <v>37</v>
      </c>
      <c r="B1264" s="41">
        <v>18320.3</v>
      </c>
      <c r="C1264" s="41">
        <v>15813.19</v>
      </c>
      <c r="D1264" s="42">
        <v>6942.02</v>
      </c>
      <c r="E1264" s="39">
        <f t="shared" si="56"/>
        <v>86.315125844009117</v>
      </c>
    </row>
    <row r="1265" spans="1:5">
      <c r="A1265" s="40" t="s">
        <v>53</v>
      </c>
      <c r="B1265" s="41">
        <v>-2979.35</v>
      </c>
      <c r="C1265" s="41">
        <v>-2984.02</v>
      </c>
      <c r="D1265" s="42">
        <v>4.67</v>
      </c>
      <c r="E1265" s="39">
        <f t="shared" si="56"/>
        <v>100.15674559887225</v>
      </c>
    </row>
    <row r="1266" spans="1:5">
      <c r="A1266" s="40" t="s">
        <v>36</v>
      </c>
      <c r="B1266" s="41">
        <v>56387.59</v>
      </c>
      <c r="C1266" s="41">
        <v>61234.26</v>
      </c>
      <c r="D1266" s="42">
        <v>13763.22</v>
      </c>
      <c r="E1266" s="39">
        <f t="shared" si="56"/>
        <v>108.59527779073375</v>
      </c>
    </row>
    <row r="1267" spans="1:5">
      <c r="A1267" s="40" t="s">
        <v>40</v>
      </c>
      <c r="B1267" s="41">
        <v>9422.16</v>
      </c>
      <c r="C1267" s="41">
        <v>3638.92</v>
      </c>
      <c r="D1267" s="42">
        <v>11020.83</v>
      </c>
      <c r="E1267" s="39">
        <f t="shared" si="56"/>
        <v>38.620868251016752</v>
      </c>
    </row>
    <row r="1268" spans="1:5">
      <c r="A1268" s="40" t="s">
        <v>52</v>
      </c>
      <c r="B1268" s="41">
        <v>-692.3</v>
      </c>
      <c r="C1268" s="41">
        <v>-692.99</v>
      </c>
      <c r="D1268" s="42">
        <v>0.69</v>
      </c>
      <c r="E1268" s="39">
        <f t="shared" si="56"/>
        <v>100.09966777408638</v>
      </c>
    </row>
    <row r="1269" spans="1:5">
      <c r="A1269" s="40" t="s">
        <v>41</v>
      </c>
      <c r="B1269" s="41">
        <v>31910.7</v>
      </c>
      <c r="C1269" s="41">
        <v>25130.75</v>
      </c>
      <c r="D1269" s="42">
        <v>16287.59</v>
      </c>
      <c r="E1269" s="39">
        <f t="shared" si="56"/>
        <v>78.753364858809121</v>
      </c>
    </row>
    <row r="1270" spans="1:5">
      <c r="A1270" s="40" t="s">
        <v>32</v>
      </c>
      <c r="B1270" s="41">
        <v>47327.68</v>
      </c>
      <c r="C1270" s="41">
        <v>50851.3</v>
      </c>
      <c r="D1270" s="42">
        <v>11419.8</v>
      </c>
      <c r="E1270" s="39">
        <f t="shared" si="56"/>
        <v>107.44515682999887</v>
      </c>
    </row>
    <row r="1271" spans="1:5">
      <c r="A1271" s="40" t="s">
        <v>42</v>
      </c>
      <c r="B1271" s="41">
        <v>47549.04</v>
      </c>
      <c r="C1271" s="41">
        <v>46865.99</v>
      </c>
      <c r="D1271" s="42">
        <v>4785.74</v>
      </c>
      <c r="E1271" s="39">
        <f t="shared" si="56"/>
        <v>98.563483090300025</v>
      </c>
    </row>
    <row r="1272" spans="1:5">
      <c r="A1272" s="40" t="s">
        <v>33</v>
      </c>
      <c r="B1272" s="41">
        <v>59133.43</v>
      </c>
      <c r="C1272" s="41">
        <v>63566.04</v>
      </c>
      <c r="D1272" s="42">
        <v>14387.31</v>
      </c>
      <c r="E1272" s="39">
        <f t="shared" si="56"/>
        <v>107.49594603255721</v>
      </c>
    </row>
    <row r="1273" spans="1:5">
      <c r="A1273" s="43" t="s">
        <v>45</v>
      </c>
      <c r="B1273" s="44">
        <v>791646.84</v>
      </c>
      <c r="C1273" s="44">
        <v>665846.69999999995</v>
      </c>
      <c r="D1273" s="45">
        <v>729788.56</v>
      </c>
      <c r="E1273" s="46">
        <f t="shared" si="56"/>
        <v>84.109058023903685</v>
      </c>
    </row>
    <row r="1274" spans="1:5">
      <c r="A1274" s="54" t="s">
        <v>70</v>
      </c>
      <c r="B1274" s="54"/>
      <c r="C1274" s="54"/>
      <c r="D1274" s="54"/>
      <c r="E1274" s="39"/>
    </row>
    <row r="1275" spans="1:5">
      <c r="A1275" s="40" t="s">
        <v>32</v>
      </c>
      <c r="B1275" s="41">
        <v>47443.32</v>
      </c>
      <c r="C1275" s="41">
        <v>46156.160000000003</v>
      </c>
      <c r="D1275" s="42">
        <v>16279.72</v>
      </c>
      <c r="E1275" s="39">
        <f t="shared" ref="E1275:E1284" si="57">C1275/B1275*100</f>
        <v>97.28695209357187</v>
      </c>
    </row>
    <row r="1276" spans="1:5">
      <c r="A1276" s="40" t="s">
        <v>36</v>
      </c>
      <c r="B1276" s="41">
        <v>56525.64</v>
      </c>
      <c r="C1276" s="41">
        <v>56033.9</v>
      </c>
      <c r="D1276" s="42">
        <v>19508.91</v>
      </c>
      <c r="E1276" s="39">
        <f t="shared" si="57"/>
        <v>99.130058500885625</v>
      </c>
    </row>
    <row r="1277" spans="1:5">
      <c r="A1277" s="40" t="s">
        <v>40</v>
      </c>
      <c r="B1277" s="41">
        <v>13177.08</v>
      </c>
      <c r="C1277" s="41">
        <v>10213.700000000001</v>
      </c>
      <c r="D1277" s="42">
        <v>8987.5</v>
      </c>
      <c r="E1277" s="39">
        <f t="shared" si="57"/>
        <v>77.511102611504228</v>
      </c>
    </row>
    <row r="1278" spans="1:5">
      <c r="A1278" s="40" t="s">
        <v>41</v>
      </c>
      <c r="B1278" s="41">
        <v>37374.699999999997</v>
      </c>
      <c r="C1278" s="41">
        <v>28570.74</v>
      </c>
      <c r="D1278" s="42">
        <v>21348.5</v>
      </c>
      <c r="E1278" s="39">
        <f t="shared" si="57"/>
        <v>76.444065102863718</v>
      </c>
    </row>
    <row r="1279" spans="1:5">
      <c r="A1279" s="40" t="s">
        <v>35</v>
      </c>
      <c r="B1279" s="41">
        <v>313152.12</v>
      </c>
      <c r="C1279" s="41">
        <v>273206.98</v>
      </c>
      <c r="D1279" s="42">
        <v>108647.22</v>
      </c>
      <c r="E1279" s="39">
        <f t="shared" si="57"/>
        <v>87.244173853908435</v>
      </c>
    </row>
    <row r="1280" spans="1:5">
      <c r="A1280" s="40" t="s">
        <v>37</v>
      </c>
      <c r="B1280" s="41">
        <v>22226.58</v>
      </c>
      <c r="C1280" s="41">
        <v>21655.79</v>
      </c>
      <c r="D1280" s="42">
        <v>8168.94</v>
      </c>
      <c r="E1280" s="39">
        <f t="shared" si="57"/>
        <v>97.431948594880538</v>
      </c>
    </row>
    <row r="1281" spans="1:5">
      <c r="A1281" s="40" t="s">
        <v>33</v>
      </c>
      <c r="B1281" s="41">
        <v>59278.2</v>
      </c>
      <c r="C1281" s="41">
        <v>57810.46</v>
      </c>
      <c r="D1281" s="42">
        <v>20385.82</v>
      </c>
      <c r="E1281" s="39">
        <f t="shared" si="57"/>
        <v>97.523980147845251</v>
      </c>
    </row>
    <row r="1282" spans="1:5">
      <c r="A1282" s="40" t="s">
        <v>51</v>
      </c>
      <c r="B1282" s="41">
        <v>136417.07999999999</v>
      </c>
      <c r="C1282" s="41">
        <v>127114.07</v>
      </c>
      <c r="D1282" s="42">
        <v>46562.8</v>
      </c>
      <c r="E1282" s="39">
        <f t="shared" si="57"/>
        <v>93.180465378675464</v>
      </c>
    </row>
    <row r="1283" spans="1:5">
      <c r="A1283" s="40" t="s">
        <v>42</v>
      </c>
      <c r="B1283" s="41">
        <v>43933.56</v>
      </c>
      <c r="C1283" s="41">
        <v>39514.400000000001</v>
      </c>
      <c r="D1283" s="42">
        <v>10546.32</v>
      </c>
      <c r="E1283" s="39">
        <f t="shared" si="57"/>
        <v>89.941265856898468</v>
      </c>
    </row>
    <row r="1284" spans="1:5">
      <c r="A1284" s="40" t="s">
        <v>43</v>
      </c>
      <c r="B1284" s="41">
        <v>20005.02</v>
      </c>
      <c r="C1284" s="41">
        <v>16655.259999999998</v>
      </c>
      <c r="D1284" s="42">
        <v>7578.25</v>
      </c>
      <c r="E1284" s="39">
        <f t="shared" si="57"/>
        <v>83.255402893873637</v>
      </c>
    </row>
    <row r="1285" spans="1:5">
      <c r="A1285" s="40" t="s">
        <v>44</v>
      </c>
      <c r="B1285" s="41">
        <v>0</v>
      </c>
      <c r="C1285" s="41">
        <v>-18798.03</v>
      </c>
      <c r="D1285" s="42">
        <v>1892.71</v>
      </c>
      <c r="E1285" s="39"/>
    </row>
    <row r="1286" spans="1:5">
      <c r="A1286" s="40" t="s">
        <v>39</v>
      </c>
      <c r="B1286" s="41">
        <v>0</v>
      </c>
      <c r="C1286" s="41">
        <v>725.74</v>
      </c>
      <c r="D1286" s="42">
        <v>-1626.56</v>
      </c>
      <c r="E1286" s="39"/>
    </row>
    <row r="1287" spans="1:5">
      <c r="A1287" s="40" t="s">
        <v>53</v>
      </c>
      <c r="B1287" s="41">
        <v>-9716.26</v>
      </c>
      <c r="C1287" s="41">
        <v>-20869.3</v>
      </c>
      <c r="D1287" s="42">
        <v>133.85</v>
      </c>
      <c r="E1287" s="39">
        <f>C1287/B1287*100</f>
        <v>214.78737703602002</v>
      </c>
    </row>
    <row r="1288" spans="1:5">
      <c r="A1288" s="40" t="s">
        <v>47</v>
      </c>
      <c r="B1288" s="41">
        <v>1146.8</v>
      </c>
      <c r="C1288" s="41">
        <v>0</v>
      </c>
      <c r="D1288" s="42">
        <v>1146.8</v>
      </c>
      <c r="E1288" s="39">
        <f>C1288/B1288*100</f>
        <v>0</v>
      </c>
    </row>
    <row r="1289" spans="1:5">
      <c r="A1289" s="40" t="s">
        <v>34</v>
      </c>
      <c r="B1289" s="41">
        <v>0</v>
      </c>
      <c r="C1289" s="41">
        <v>85237.71</v>
      </c>
      <c r="D1289" s="42">
        <v>317295.33</v>
      </c>
      <c r="E1289" s="39"/>
    </row>
    <row r="1290" spans="1:5">
      <c r="A1290" s="40" t="s">
        <v>135</v>
      </c>
      <c r="B1290" s="41">
        <v>43360.78</v>
      </c>
      <c r="C1290" s="41">
        <v>32904.160000000003</v>
      </c>
      <c r="D1290" s="42">
        <v>10545.38</v>
      </c>
      <c r="E1290" s="39">
        <f>C1290/B1290*100</f>
        <v>75.884612776799685</v>
      </c>
    </row>
    <row r="1291" spans="1:5">
      <c r="A1291" s="40" t="s">
        <v>38</v>
      </c>
      <c r="B1291" s="41">
        <v>3175.53</v>
      </c>
      <c r="C1291" s="41">
        <v>2640.32</v>
      </c>
      <c r="D1291" s="42">
        <v>1187.81</v>
      </c>
      <c r="E1291" s="39">
        <f>C1291/B1291*100</f>
        <v>83.145805582060319</v>
      </c>
    </row>
    <row r="1292" spans="1:5">
      <c r="A1292" s="40" t="s">
        <v>52</v>
      </c>
      <c r="B1292" s="41">
        <v>-4593.57</v>
      </c>
      <c r="C1292" s="41">
        <v>-5609.06</v>
      </c>
      <c r="D1292" s="42">
        <v>0</v>
      </c>
      <c r="E1292" s="39">
        <f>C1292/B1292*100</f>
        <v>122.10677098640058</v>
      </c>
    </row>
    <row r="1293" spans="1:5">
      <c r="A1293" s="40" t="s">
        <v>50</v>
      </c>
      <c r="B1293" s="41">
        <v>16505.849999999999</v>
      </c>
      <c r="C1293" s="41">
        <v>12453.9</v>
      </c>
      <c r="D1293" s="42">
        <v>8736.98</v>
      </c>
      <c r="E1293" s="39">
        <f>C1293/B1293*100</f>
        <v>75.451430856332763</v>
      </c>
    </row>
    <row r="1294" spans="1:5">
      <c r="A1294" s="43" t="s">
        <v>45</v>
      </c>
      <c r="B1294" s="44">
        <v>799412.43</v>
      </c>
      <c r="C1294" s="44">
        <v>765616.9</v>
      </c>
      <c r="D1294" s="45">
        <v>607326.28</v>
      </c>
      <c r="E1294" s="46">
        <f>C1294/B1294*100</f>
        <v>95.772453775831323</v>
      </c>
    </row>
    <row r="1295" spans="1:5">
      <c r="A1295" s="53" t="s">
        <v>96</v>
      </c>
      <c r="B1295" s="53"/>
      <c r="C1295" s="53"/>
      <c r="D1295" s="53"/>
      <c r="E1295" s="39"/>
    </row>
    <row r="1296" spans="1:5">
      <c r="A1296" s="36" t="s">
        <v>28</v>
      </c>
      <c r="B1296" s="36" t="s">
        <v>29</v>
      </c>
      <c r="C1296" s="36" t="s">
        <v>30</v>
      </c>
      <c r="D1296" s="37" t="s">
        <v>31</v>
      </c>
      <c r="E1296" s="39"/>
    </row>
    <row r="1297" spans="1:5">
      <c r="A1297" s="54" t="s">
        <v>71</v>
      </c>
      <c r="B1297" s="54"/>
      <c r="C1297" s="54"/>
      <c r="D1297" s="54"/>
      <c r="E1297" s="39"/>
    </row>
    <row r="1298" spans="1:5">
      <c r="A1298" s="40" t="s">
        <v>51</v>
      </c>
      <c r="B1298" s="41">
        <v>255637.63</v>
      </c>
      <c r="C1298" s="41">
        <v>307099.06</v>
      </c>
      <c r="D1298" s="42">
        <v>5283.85</v>
      </c>
      <c r="E1298" s="39">
        <f>C1298/B1298*100</f>
        <v>120.130616138164</v>
      </c>
    </row>
    <row r="1299" spans="1:5">
      <c r="A1299" s="40" t="s">
        <v>36</v>
      </c>
      <c r="B1299" s="41">
        <v>86671.62</v>
      </c>
      <c r="C1299" s="41">
        <v>87233.04</v>
      </c>
      <c r="D1299" s="42">
        <v>27345.67</v>
      </c>
      <c r="E1299" s="39">
        <f>C1299/B1299*100</f>
        <v>100.64775528598635</v>
      </c>
    </row>
    <row r="1300" spans="1:5">
      <c r="A1300" s="40" t="s">
        <v>44</v>
      </c>
      <c r="B1300" s="41">
        <v>0</v>
      </c>
      <c r="C1300" s="41">
        <v>-27223.25</v>
      </c>
      <c r="D1300" s="42">
        <v>3421.14</v>
      </c>
      <c r="E1300" s="39"/>
    </row>
    <row r="1301" spans="1:5">
      <c r="A1301" s="40" t="s">
        <v>53</v>
      </c>
      <c r="B1301" s="41">
        <v>-73546.850000000006</v>
      </c>
      <c r="C1301" s="41">
        <v>-94640.46</v>
      </c>
      <c r="D1301" s="42">
        <v>0</v>
      </c>
      <c r="E1301" s="39">
        <f t="shared" ref="E1301:E1312" si="58">C1301/B1301*100</f>
        <v>128.68050773078656</v>
      </c>
    </row>
    <row r="1302" spans="1:5">
      <c r="A1302" s="40" t="s">
        <v>41</v>
      </c>
      <c r="B1302" s="41">
        <v>58579.27</v>
      </c>
      <c r="C1302" s="41">
        <v>53060.3</v>
      </c>
      <c r="D1302" s="42">
        <v>21473.65</v>
      </c>
      <c r="E1302" s="39">
        <f t="shared" si="58"/>
        <v>90.578629607367944</v>
      </c>
    </row>
    <row r="1303" spans="1:5">
      <c r="A1303" s="40" t="s">
        <v>40</v>
      </c>
      <c r="B1303" s="41">
        <v>21892.080000000002</v>
      </c>
      <c r="C1303" s="41">
        <v>13472.1</v>
      </c>
      <c r="D1303" s="42">
        <v>15714.35</v>
      </c>
      <c r="E1303" s="39">
        <f t="shared" si="58"/>
        <v>61.538693445300765</v>
      </c>
    </row>
    <row r="1304" spans="1:5">
      <c r="A1304" s="40" t="s">
        <v>50</v>
      </c>
      <c r="B1304" s="41">
        <v>23145.34</v>
      </c>
      <c r="C1304" s="41">
        <v>20623.62</v>
      </c>
      <c r="D1304" s="42">
        <v>9308.5</v>
      </c>
      <c r="E1304" s="39">
        <f t="shared" si="58"/>
        <v>89.104847887306903</v>
      </c>
    </row>
    <row r="1305" spans="1:5">
      <c r="A1305" s="40" t="s">
        <v>37</v>
      </c>
      <c r="B1305" s="41">
        <v>37564.76</v>
      </c>
      <c r="C1305" s="41">
        <v>47013.03</v>
      </c>
      <c r="D1305" s="42">
        <v>584.66999999999996</v>
      </c>
      <c r="E1305" s="39">
        <f t="shared" si="58"/>
        <v>125.15195092421727</v>
      </c>
    </row>
    <row r="1306" spans="1:5">
      <c r="A1306" s="40" t="s">
        <v>47</v>
      </c>
      <c r="B1306" s="41">
        <v>11008</v>
      </c>
      <c r="C1306" s="41">
        <v>1075.3699999999999</v>
      </c>
      <c r="D1306" s="42">
        <v>1538</v>
      </c>
      <c r="E1306" s="39">
        <f t="shared" si="58"/>
        <v>9.7689861918604635</v>
      </c>
    </row>
    <row r="1307" spans="1:5">
      <c r="A1307" s="40" t="s">
        <v>32</v>
      </c>
      <c r="B1307" s="41">
        <v>72745.14</v>
      </c>
      <c r="C1307" s="41">
        <v>72743.05</v>
      </c>
      <c r="D1307" s="42">
        <v>22836.02</v>
      </c>
      <c r="E1307" s="39">
        <f t="shared" si="58"/>
        <v>99.997126955835128</v>
      </c>
    </row>
    <row r="1308" spans="1:5">
      <c r="A1308" s="40" t="s">
        <v>33</v>
      </c>
      <c r="B1308" s="41">
        <v>90891.78</v>
      </c>
      <c r="C1308" s="41">
        <v>91060.21</v>
      </c>
      <c r="D1308" s="42">
        <v>28611.78</v>
      </c>
      <c r="E1308" s="39">
        <f t="shared" si="58"/>
        <v>100.18530828640391</v>
      </c>
    </row>
    <row r="1309" spans="1:5">
      <c r="A1309" s="40" t="s">
        <v>42</v>
      </c>
      <c r="B1309" s="41">
        <v>65676.240000000005</v>
      </c>
      <c r="C1309" s="41">
        <v>64097.04</v>
      </c>
      <c r="D1309" s="42">
        <v>12339.57</v>
      </c>
      <c r="E1309" s="39">
        <f t="shared" si="58"/>
        <v>97.595477451206094</v>
      </c>
    </row>
    <row r="1310" spans="1:5">
      <c r="A1310" s="40" t="s">
        <v>52</v>
      </c>
      <c r="B1310" s="41">
        <v>-17143.810000000001</v>
      </c>
      <c r="C1310" s="41">
        <v>-16817.87</v>
      </c>
      <c r="D1310" s="42">
        <v>-325.94</v>
      </c>
      <c r="E1310" s="39">
        <f t="shared" si="58"/>
        <v>98.098789008977576</v>
      </c>
    </row>
    <row r="1311" spans="1:5">
      <c r="A1311" s="40" t="s">
        <v>35</v>
      </c>
      <c r="B1311" s="41">
        <v>480159.12</v>
      </c>
      <c r="C1311" s="41">
        <v>416313.83</v>
      </c>
      <c r="D1311" s="42">
        <v>167304.1</v>
      </c>
      <c r="E1311" s="39">
        <f t="shared" si="58"/>
        <v>86.703305770803652</v>
      </c>
    </row>
    <row r="1312" spans="1:5">
      <c r="A1312" s="40" t="s">
        <v>43</v>
      </c>
      <c r="B1312" s="41">
        <v>26010.18</v>
      </c>
      <c r="C1312" s="41">
        <v>23139.09</v>
      </c>
      <c r="D1312" s="42">
        <v>8177.68</v>
      </c>
      <c r="E1312" s="39">
        <f t="shared" si="58"/>
        <v>88.961668085341969</v>
      </c>
    </row>
    <row r="1313" spans="1:5">
      <c r="A1313" s="40" t="s">
        <v>34</v>
      </c>
      <c r="B1313" s="41">
        <v>0</v>
      </c>
      <c r="C1313" s="41">
        <v>10741.39</v>
      </c>
      <c r="D1313" s="42">
        <v>443199.99</v>
      </c>
      <c r="E1313" s="39"/>
    </row>
    <row r="1314" spans="1:5">
      <c r="A1314" s="40" t="s">
        <v>38</v>
      </c>
      <c r="B1314" s="41">
        <v>4130.5200000000004</v>
      </c>
      <c r="C1314" s="41">
        <v>3433.82</v>
      </c>
      <c r="D1314" s="42">
        <v>1195.23</v>
      </c>
      <c r="E1314" s="39">
        <f>C1314/B1314*100</f>
        <v>83.132874311224739</v>
      </c>
    </row>
    <row r="1315" spans="1:5">
      <c r="A1315" s="40" t="s">
        <v>135</v>
      </c>
      <c r="B1315" s="41">
        <v>41138.17</v>
      </c>
      <c r="C1315" s="41">
        <v>34444.29</v>
      </c>
      <c r="D1315" s="42">
        <v>14068.29</v>
      </c>
      <c r="E1315" s="39">
        <f>C1315/B1315*100</f>
        <v>83.728299046846274</v>
      </c>
    </row>
    <row r="1316" spans="1:5">
      <c r="A1316" s="40" t="s">
        <v>39</v>
      </c>
      <c r="B1316" s="41">
        <v>0</v>
      </c>
      <c r="C1316" s="41">
        <v>911.12</v>
      </c>
      <c r="D1316" s="42">
        <v>-2623.91</v>
      </c>
      <c r="E1316" s="39"/>
    </row>
    <row r="1317" spans="1:5">
      <c r="A1317" s="43" t="s">
        <v>45</v>
      </c>
      <c r="B1317" s="44">
        <v>1184559.19</v>
      </c>
      <c r="C1317" s="44">
        <v>1107778.78</v>
      </c>
      <c r="D1317" s="45">
        <v>779452.64</v>
      </c>
      <c r="E1317" s="46">
        <f>C1317/B1317*100</f>
        <v>93.518229342342963</v>
      </c>
    </row>
    <row r="1318" spans="1:5">
      <c r="A1318" s="54" t="s">
        <v>72</v>
      </c>
      <c r="B1318" s="54"/>
      <c r="C1318" s="54"/>
      <c r="D1318" s="54"/>
      <c r="E1318" s="39"/>
    </row>
    <row r="1319" spans="1:5">
      <c r="A1319" s="40" t="s">
        <v>37</v>
      </c>
      <c r="B1319" s="41">
        <v>51397.94</v>
      </c>
      <c r="C1319" s="41">
        <v>44472.28</v>
      </c>
      <c r="D1319" s="42">
        <v>19230.77</v>
      </c>
      <c r="E1319" s="39">
        <f>C1319/B1319*100</f>
        <v>86.52541327531803</v>
      </c>
    </row>
    <row r="1320" spans="1:5">
      <c r="A1320" s="40" t="s">
        <v>44</v>
      </c>
      <c r="B1320" s="41">
        <v>0</v>
      </c>
      <c r="C1320" s="41">
        <v>-26577.77</v>
      </c>
      <c r="D1320" s="42">
        <v>2822.94</v>
      </c>
      <c r="E1320" s="39"/>
    </row>
    <row r="1321" spans="1:5">
      <c r="A1321" s="40" t="s">
        <v>39</v>
      </c>
      <c r="B1321" s="41">
        <v>0</v>
      </c>
      <c r="C1321" s="41">
        <v>907.79</v>
      </c>
      <c r="D1321" s="42">
        <v>-2703.8</v>
      </c>
      <c r="E1321" s="39"/>
    </row>
    <row r="1322" spans="1:5">
      <c r="A1322" s="40" t="s">
        <v>36</v>
      </c>
      <c r="B1322" s="41">
        <v>81584.88</v>
      </c>
      <c r="C1322" s="41">
        <v>81905.62</v>
      </c>
      <c r="D1322" s="42">
        <v>26143.59</v>
      </c>
      <c r="E1322" s="39">
        <f t="shared" ref="E1322:E1334" si="59">C1322/B1322*100</f>
        <v>100.39313657138429</v>
      </c>
    </row>
    <row r="1323" spans="1:5">
      <c r="A1323" s="40" t="s">
        <v>32</v>
      </c>
      <c r="B1323" s="41">
        <v>68476.08</v>
      </c>
      <c r="C1323" s="41">
        <v>68411.710000000006</v>
      </c>
      <c r="D1323" s="42">
        <v>21846.01</v>
      </c>
      <c r="E1323" s="39">
        <f t="shared" si="59"/>
        <v>99.905996371287614</v>
      </c>
    </row>
    <row r="1324" spans="1:5">
      <c r="A1324" s="40" t="s">
        <v>40</v>
      </c>
      <c r="B1324" s="41">
        <v>32858.04</v>
      </c>
      <c r="C1324" s="41">
        <v>27183.81</v>
      </c>
      <c r="D1324" s="42">
        <v>13650.84</v>
      </c>
      <c r="E1324" s="39">
        <f t="shared" si="59"/>
        <v>82.73107586453726</v>
      </c>
    </row>
    <row r="1325" spans="1:5">
      <c r="A1325" s="40" t="s">
        <v>46</v>
      </c>
      <c r="B1325" s="41">
        <v>460297.14</v>
      </c>
      <c r="C1325" s="41">
        <v>372878.72</v>
      </c>
      <c r="D1325" s="42">
        <v>190955.71</v>
      </c>
      <c r="E1325" s="39">
        <f t="shared" si="59"/>
        <v>81.008263488232828</v>
      </c>
    </row>
    <row r="1326" spans="1:5">
      <c r="A1326" s="40" t="s">
        <v>43</v>
      </c>
      <c r="B1326" s="41">
        <v>27292.46</v>
      </c>
      <c r="C1326" s="41">
        <v>24081.3</v>
      </c>
      <c r="D1326" s="42">
        <v>9179.9699999999993</v>
      </c>
      <c r="E1326" s="39">
        <f t="shared" si="59"/>
        <v>88.234259572057624</v>
      </c>
    </row>
    <row r="1327" spans="1:5">
      <c r="A1327" s="40" t="s">
        <v>53</v>
      </c>
      <c r="B1327" s="41">
        <v>-84891.42</v>
      </c>
      <c r="C1327" s="41">
        <v>-118085.82</v>
      </c>
      <c r="D1327" s="42">
        <v>435.74</v>
      </c>
      <c r="E1327" s="39">
        <f t="shared" si="59"/>
        <v>139.10218488511561</v>
      </c>
    </row>
    <row r="1328" spans="1:5">
      <c r="A1328" s="40" t="s">
        <v>33</v>
      </c>
      <c r="B1328" s="41">
        <v>85557</v>
      </c>
      <c r="C1328" s="41">
        <v>85714.3</v>
      </c>
      <c r="D1328" s="42">
        <v>27366.66</v>
      </c>
      <c r="E1328" s="39">
        <f t="shared" si="59"/>
        <v>100.18385403882792</v>
      </c>
    </row>
    <row r="1329" spans="1:5">
      <c r="A1329" s="40" t="s">
        <v>50</v>
      </c>
      <c r="B1329" s="41">
        <v>33439.760000000002</v>
      </c>
      <c r="C1329" s="41">
        <v>27023.14</v>
      </c>
      <c r="D1329" s="42">
        <v>15428.04</v>
      </c>
      <c r="E1329" s="39">
        <f t="shared" si="59"/>
        <v>80.811405345014435</v>
      </c>
    </row>
    <row r="1330" spans="1:5">
      <c r="A1330" s="40" t="s">
        <v>42</v>
      </c>
      <c r="B1330" s="41">
        <v>49570.92</v>
      </c>
      <c r="C1330" s="41">
        <v>41624.550000000003</v>
      </c>
      <c r="D1330" s="42">
        <v>16295.43</v>
      </c>
      <c r="E1330" s="39">
        <f t="shared" si="59"/>
        <v>83.969694328852484</v>
      </c>
    </row>
    <row r="1331" spans="1:5">
      <c r="A1331" s="40" t="s">
        <v>38</v>
      </c>
      <c r="B1331" s="41">
        <v>4334.13</v>
      </c>
      <c r="C1331" s="41">
        <v>3393.99</v>
      </c>
      <c r="D1331" s="42">
        <v>1427.58</v>
      </c>
      <c r="E1331" s="39">
        <f t="shared" si="59"/>
        <v>78.308449446601742</v>
      </c>
    </row>
    <row r="1332" spans="1:5">
      <c r="A1332" s="40" t="s">
        <v>47</v>
      </c>
      <c r="B1332" s="41">
        <v>10260.799999999999</v>
      </c>
      <c r="C1332" s="41">
        <v>836</v>
      </c>
      <c r="D1332" s="42">
        <v>1655.2</v>
      </c>
      <c r="E1332" s="39">
        <f t="shared" si="59"/>
        <v>8.1475128644939971</v>
      </c>
    </row>
    <row r="1333" spans="1:5">
      <c r="A1333" s="40" t="s">
        <v>51</v>
      </c>
      <c r="B1333" s="41">
        <v>277796.59999999998</v>
      </c>
      <c r="C1333" s="41">
        <v>343676.77</v>
      </c>
      <c r="D1333" s="42">
        <v>7564.67</v>
      </c>
      <c r="E1333" s="39">
        <f t="shared" si="59"/>
        <v>123.71525425437173</v>
      </c>
    </row>
    <row r="1334" spans="1:5">
      <c r="A1334" s="40" t="s">
        <v>41</v>
      </c>
      <c r="B1334" s="41">
        <v>81862.62</v>
      </c>
      <c r="C1334" s="41">
        <v>70711.360000000001</v>
      </c>
      <c r="D1334" s="42">
        <v>30874.400000000001</v>
      </c>
      <c r="E1334" s="39">
        <f t="shared" si="59"/>
        <v>86.378080740635966</v>
      </c>
    </row>
    <row r="1335" spans="1:5">
      <c r="A1335" s="40" t="s">
        <v>34</v>
      </c>
      <c r="B1335" s="41">
        <v>0</v>
      </c>
      <c r="C1335" s="41">
        <v>21134.66</v>
      </c>
      <c r="D1335" s="42">
        <v>364137.97</v>
      </c>
      <c r="E1335" s="39"/>
    </row>
    <row r="1336" spans="1:5">
      <c r="A1336" s="43" t="s">
        <v>45</v>
      </c>
      <c r="B1336" s="44">
        <v>1179836.95</v>
      </c>
      <c r="C1336" s="44">
        <v>1069292.4099999999</v>
      </c>
      <c r="D1336" s="45">
        <v>746311.72</v>
      </c>
      <c r="E1336" s="46">
        <f>C1336/B1336*100</f>
        <v>90.630523988929141</v>
      </c>
    </row>
    <row r="1337" spans="1:5">
      <c r="A1337" s="54" t="s">
        <v>73</v>
      </c>
      <c r="B1337" s="54"/>
      <c r="C1337" s="54"/>
      <c r="D1337" s="54"/>
      <c r="E1337" s="39"/>
    </row>
    <row r="1338" spans="1:5">
      <c r="A1338" s="40" t="s">
        <v>42</v>
      </c>
      <c r="B1338" s="41">
        <v>63953.16</v>
      </c>
      <c r="C1338" s="41">
        <v>54909.82</v>
      </c>
      <c r="D1338" s="42">
        <v>15059.75</v>
      </c>
      <c r="E1338" s="39">
        <f>C1338/B1338*100</f>
        <v>85.859432121884197</v>
      </c>
    </row>
    <row r="1339" spans="1:5">
      <c r="A1339" s="40" t="s">
        <v>44</v>
      </c>
      <c r="B1339" s="41">
        <v>0</v>
      </c>
      <c r="C1339" s="41">
        <v>-31215.22</v>
      </c>
      <c r="D1339" s="42">
        <v>1919.5</v>
      </c>
      <c r="E1339" s="39"/>
    </row>
    <row r="1340" spans="1:5">
      <c r="A1340" s="40" t="s">
        <v>135</v>
      </c>
      <c r="B1340" s="41">
        <v>42431.74</v>
      </c>
      <c r="C1340" s="41">
        <v>37758.86</v>
      </c>
      <c r="D1340" s="42">
        <v>9939.15</v>
      </c>
      <c r="E1340" s="39">
        <f>C1340/B1340*100</f>
        <v>88.987300544356657</v>
      </c>
    </row>
    <row r="1341" spans="1:5">
      <c r="A1341" s="40" t="s">
        <v>32</v>
      </c>
      <c r="B1341" s="41">
        <v>68798.5</v>
      </c>
      <c r="C1341" s="41">
        <v>72900.81</v>
      </c>
      <c r="D1341" s="42">
        <v>20830.349999999999</v>
      </c>
      <c r="E1341" s="39">
        <f>C1341/B1341*100</f>
        <v>105.96278988640739</v>
      </c>
    </row>
    <row r="1342" spans="1:5">
      <c r="A1342" s="40" t="s">
        <v>37</v>
      </c>
      <c r="B1342" s="41">
        <v>30429.32</v>
      </c>
      <c r="C1342" s="41">
        <v>27281.38</v>
      </c>
      <c r="D1342" s="42">
        <v>14029.75</v>
      </c>
      <c r="E1342" s="39">
        <f>C1342/B1342*100</f>
        <v>89.654911775879327</v>
      </c>
    </row>
    <row r="1343" spans="1:5">
      <c r="A1343" s="40" t="s">
        <v>53</v>
      </c>
      <c r="B1343" s="41">
        <v>-52340.69</v>
      </c>
      <c r="C1343" s="41">
        <v>-57318.25</v>
      </c>
      <c r="D1343" s="42">
        <v>10.41</v>
      </c>
      <c r="E1343" s="39">
        <f>C1343/B1343*100</f>
        <v>109.50992430554507</v>
      </c>
    </row>
    <row r="1344" spans="1:5">
      <c r="A1344" s="40" t="s">
        <v>50</v>
      </c>
      <c r="B1344" s="41">
        <v>20380.96</v>
      </c>
      <c r="C1344" s="41">
        <v>17694.599999999999</v>
      </c>
      <c r="D1344" s="42">
        <v>9461.58</v>
      </c>
      <c r="E1344" s="39">
        <f>C1344/B1344*100</f>
        <v>86.819266609619959</v>
      </c>
    </row>
    <row r="1345" spans="1:5">
      <c r="A1345" s="40" t="s">
        <v>34</v>
      </c>
      <c r="B1345" s="41">
        <v>0</v>
      </c>
      <c r="C1345" s="41">
        <v>57989.61</v>
      </c>
      <c r="D1345" s="42">
        <v>108250.95</v>
      </c>
      <c r="E1345" s="39"/>
    </row>
    <row r="1346" spans="1:5">
      <c r="A1346" s="40" t="s">
        <v>36</v>
      </c>
      <c r="B1346" s="41">
        <v>81969.320000000007</v>
      </c>
      <c r="C1346" s="41">
        <v>88294.2</v>
      </c>
      <c r="D1346" s="42">
        <v>24925.5</v>
      </c>
      <c r="E1346" s="39">
        <f t="shared" ref="E1346:E1353" si="60">C1346/B1346*100</f>
        <v>107.7161552639451</v>
      </c>
    </row>
    <row r="1347" spans="1:5">
      <c r="A1347" s="40" t="s">
        <v>51</v>
      </c>
      <c r="B1347" s="41">
        <v>227783.98</v>
      </c>
      <c r="C1347" s="41">
        <v>244866.47</v>
      </c>
      <c r="D1347" s="42">
        <v>38294.44</v>
      </c>
      <c r="E1347" s="39">
        <f t="shared" si="60"/>
        <v>107.49942555222715</v>
      </c>
    </row>
    <row r="1348" spans="1:5">
      <c r="A1348" s="40" t="s">
        <v>52</v>
      </c>
      <c r="B1348" s="41">
        <v>668.19</v>
      </c>
      <c r="C1348" s="41">
        <v>237.32</v>
      </c>
      <c r="D1348" s="42">
        <v>66.3</v>
      </c>
      <c r="E1348" s="39">
        <f t="shared" si="60"/>
        <v>35.516844011433868</v>
      </c>
    </row>
    <row r="1349" spans="1:5">
      <c r="A1349" s="40" t="s">
        <v>35</v>
      </c>
      <c r="B1349" s="41">
        <v>454108.74</v>
      </c>
      <c r="C1349" s="41">
        <v>403229.72</v>
      </c>
      <c r="D1349" s="42">
        <v>150088.75</v>
      </c>
      <c r="E1349" s="39">
        <f t="shared" si="60"/>
        <v>88.795850967325578</v>
      </c>
    </row>
    <row r="1350" spans="1:5">
      <c r="A1350" s="40" t="s">
        <v>43</v>
      </c>
      <c r="B1350" s="41">
        <v>24502.639999999999</v>
      </c>
      <c r="C1350" s="41">
        <v>21530.61</v>
      </c>
      <c r="D1350" s="42">
        <v>9201.11</v>
      </c>
      <c r="E1350" s="39">
        <f t="shared" si="60"/>
        <v>87.870572313840469</v>
      </c>
    </row>
    <row r="1351" spans="1:5">
      <c r="A1351" s="40" t="s">
        <v>41</v>
      </c>
      <c r="B1351" s="41">
        <v>49019.06</v>
      </c>
      <c r="C1351" s="41">
        <v>44406.68</v>
      </c>
      <c r="D1351" s="42">
        <v>22246.52</v>
      </c>
      <c r="E1351" s="39">
        <f t="shared" si="60"/>
        <v>90.590639640988641</v>
      </c>
    </row>
    <row r="1352" spans="1:5">
      <c r="A1352" s="40" t="s">
        <v>38</v>
      </c>
      <c r="B1352" s="41">
        <v>3890.42</v>
      </c>
      <c r="C1352" s="41">
        <v>3320.57</v>
      </c>
      <c r="D1352" s="42">
        <v>1442.64</v>
      </c>
      <c r="E1352" s="39">
        <f t="shared" si="60"/>
        <v>85.35248122310702</v>
      </c>
    </row>
    <row r="1353" spans="1:5">
      <c r="A1353" s="40" t="s">
        <v>33</v>
      </c>
      <c r="B1353" s="41">
        <v>85960.5</v>
      </c>
      <c r="C1353" s="41">
        <v>91332.01</v>
      </c>
      <c r="D1353" s="42">
        <v>26084</v>
      </c>
      <c r="E1353" s="39">
        <f t="shared" si="60"/>
        <v>106.24881195432785</v>
      </c>
    </row>
    <row r="1354" spans="1:5">
      <c r="A1354" s="40" t="s">
        <v>39</v>
      </c>
      <c r="B1354" s="41">
        <v>0</v>
      </c>
      <c r="C1354" s="41">
        <v>1126.6500000000001</v>
      </c>
      <c r="D1354" s="42">
        <v>-2194.11</v>
      </c>
      <c r="E1354" s="39"/>
    </row>
    <row r="1355" spans="1:5">
      <c r="A1355" s="40" t="s">
        <v>40</v>
      </c>
      <c r="B1355" s="41">
        <v>18864.240000000002</v>
      </c>
      <c r="C1355" s="41">
        <v>16110.72</v>
      </c>
      <c r="D1355" s="42">
        <v>11070.64</v>
      </c>
      <c r="E1355" s="39">
        <f>C1355/B1355*100</f>
        <v>85.403493594229076</v>
      </c>
    </row>
    <row r="1356" spans="1:5">
      <c r="A1356" s="40" t="s">
        <v>47</v>
      </c>
      <c r="B1356" s="41">
        <v>10062.200000000001</v>
      </c>
      <c r="C1356" s="41">
        <v>70.400000000000006</v>
      </c>
      <c r="D1356" s="42">
        <v>1663</v>
      </c>
      <c r="E1356" s="39">
        <f>C1356/B1356*100</f>
        <v>0.69964818826896702</v>
      </c>
    </row>
    <row r="1357" spans="1:5">
      <c r="A1357" s="43" t="s">
        <v>45</v>
      </c>
      <c r="B1357" s="44">
        <v>1130482.28</v>
      </c>
      <c r="C1357" s="44">
        <v>1094526.96</v>
      </c>
      <c r="D1357" s="45">
        <v>462390.23</v>
      </c>
      <c r="E1357" s="46">
        <f>C1357/B1357*100</f>
        <v>96.819470712977477</v>
      </c>
    </row>
    <row r="1359" spans="1:5">
      <c r="B1359" s="34">
        <f>SUMIF($A$6:$A$1357,$A$1357,B$6:B$1357)</f>
        <v>59137752.219999999</v>
      </c>
      <c r="C1359" s="34">
        <f>SUMIF($A$6:$A$1357,$A$1357,C$6:C$1357)</f>
        <v>56090479.93999999</v>
      </c>
      <c r="D1359" s="34">
        <f>SUMIF($A$6:$A$1357,$A$1357,D$6:D$1357)</f>
        <v>29506544.81000001</v>
      </c>
    </row>
  </sheetData>
  <mergeCells count="97">
    <mergeCell ref="A13:D13"/>
    <mergeCell ref="A1:D1"/>
    <mergeCell ref="A2:D2"/>
    <mergeCell ref="A3:D3"/>
    <mergeCell ref="B4:D4"/>
    <mergeCell ref="A6:D6"/>
    <mergeCell ref="A134:D134"/>
    <mergeCell ref="A25:D25"/>
    <mergeCell ref="A37:D37"/>
    <mergeCell ref="A46:D46"/>
    <mergeCell ref="A48:D48"/>
    <mergeCell ref="A54:D54"/>
    <mergeCell ref="A57:D57"/>
    <mergeCell ref="A72:D72"/>
    <mergeCell ref="A87:D87"/>
    <mergeCell ref="A102:D102"/>
    <mergeCell ref="A117:D117"/>
    <mergeCell ref="A121:D121"/>
    <mergeCell ref="A287:D287"/>
    <mergeCell ref="A148:D148"/>
    <mergeCell ref="A163:D163"/>
    <mergeCell ref="A178:D178"/>
    <mergeCell ref="A190:D190"/>
    <mergeCell ref="A197:D197"/>
    <mergeCell ref="A210:D210"/>
    <mergeCell ref="A226:D226"/>
    <mergeCell ref="A242:D242"/>
    <mergeCell ref="A257:D257"/>
    <mergeCell ref="A259:D259"/>
    <mergeCell ref="A274:D274"/>
    <mergeCell ref="A421:D421"/>
    <mergeCell ref="A302:D302"/>
    <mergeCell ref="A316:D316"/>
    <mergeCell ref="A328:D328"/>
    <mergeCell ref="A333:D333"/>
    <mergeCell ref="A346:D346"/>
    <mergeCell ref="A359:D359"/>
    <mergeCell ref="A369:D369"/>
    <mergeCell ref="A381:D381"/>
    <mergeCell ref="A391:D391"/>
    <mergeCell ref="A397:D397"/>
    <mergeCell ref="A407:D407"/>
    <mergeCell ref="A575:D575"/>
    <mergeCell ref="A435:D435"/>
    <mergeCell ref="A448:D448"/>
    <mergeCell ref="A460:D460"/>
    <mergeCell ref="A466:D466"/>
    <mergeCell ref="A475:D475"/>
    <mergeCell ref="A492:D492"/>
    <mergeCell ref="A509:D509"/>
    <mergeCell ref="A526:D526"/>
    <mergeCell ref="A535:D535"/>
    <mergeCell ref="A539:D539"/>
    <mergeCell ref="A554:D554"/>
    <mergeCell ref="A789:D789"/>
    <mergeCell ref="A596:D596"/>
    <mergeCell ref="A604:D604"/>
    <mergeCell ref="A619:D619"/>
    <mergeCell ref="A640:D640"/>
    <mergeCell ref="A661:D661"/>
    <mergeCell ref="A673:D673"/>
    <mergeCell ref="A684:D684"/>
    <mergeCell ref="A705:D705"/>
    <mergeCell ref="A727:D727"/>
    <mergeCell ref="A748:D748"/>
    <mergeCell ref="A768:D768"/>
    <mergeCell ref="A977:D977"/>
    <mergeCell ref="A810:D810"/>
    <mergeCell ref="A831:D831"/>
    <mergeCell ref="A852:D852"/>
    <mergeCell ref="A872:D872"/>
    <mergeCell ref="A893:D893"/>
    <mergeCell ref="A914:D914"/>
    <mergeCell ref="A935:D935"/>
    <mergeCell ref="A956:D956"/>
    <mergeCell ref="A1167:D1167"/>
    <mergeCell ref="A999:D999"/>
    <mergeCell ref="A1017:D1017"/>
    <mergeCell ref="A1038:D1038"/>
    <mergeCell ref="A1040:D1040"/>
    <mergeCell ref="A1062:D1062"/>
    <mergeCell ref="A1083:D1083"/>
    <mergeCell ref="A1089:D1089"/>
    <mergeCell ref="A1106:D1106"/>
    <mergeCell ref="A1125:D1125"/>
    <mergeCell ref="A1144:D1144"/>
    <mergeCell ref="A1158:D1158"/>
    <mergeCell ref="A1295:D1295"/>
    <mergeCell ref="A1297:D1297"/>
    <mergeCell ref="A1318:D1318"/>
    <mergeCell ref="A1337:D1337"/>
    <mergeCell ref="A1188:D1188"/>
    <mergeCell ref="A1209:D1209"/>
    <mergeCell ref="A1227:D1227"/>
    <mergeCell ref="A1232:D1232"/>
    <mergeCell ref="A1253:D1253"/>
    <mergeCell ref="A1274:D1274"/>
  </mergeCells>
  <pageMargins left="0.25" right="0.25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2"/>
  <sheetViews>
    <sheetView workbookViewId="0">
      <pane xSplit="4" ySplit="4" topLeftCell="K47" activePane="bottomRight" state="frozen"/>
      <selection activeCell="E15" sqref="E15"/>
      <selection pane="topRight" activeCell="E15" sqref="E15"/>
      <selection pane="bottomLeft" activeCell="E15" sqref="E15"/>
      <selection pane="bottomRight" activeCell="F28" sqref="F28"/>
    </sheetView>
  </sheetViews>
  <sheetFormatPr defaultRowHeight="15"/>
  <cols>
    <col min="1" max="1" width="3.5703125" bestFit="1" customWidth="1"/>
    <col min="2" max="2" width="12.5703125" bestFit="1" customWidth="1"/>
    <col min="3" max="3" width="13" customWidth="1"/>
    <col min="4" max="4" width="7.42578125" customWidth="1"/>
    <col min="5" max="5" width="17.42578125" customWidth="1"/>
    <col min="6" max="6" width="16.85546875" customWidth="1"/>
    <col min="7" max="8" width="15" customWidth="1"/>
    <col min="9" max="9" width="15.140625" customWidth="1"/>
    <col min="10" max="10" width="14.5703125" customWidth="1"/>
    <col min="11" max="11" width="13.42578125" customWidth="1"/>
    <col min="12" max="12" width="15.5703125" style="32" customWidth="1"/>
    <col min="13" max="13" width="14.85546875" customWidth="1"/>
    <col min="14" max="14" width="12.5703125" customWidth="1"/>
    <col min="15" max="16" width="15.28515625" customWidth="1"/>
    <col min="17" max="17" width="17.42578125" customWidth="1"/>
    <col min="18" max="18" width="16.28515625" hidden="1" customWidth="1"/>
    <col min="19" max="19" width="18.7109375" style="49" customWidth="1"/>
    <col min="20" max="20" width="0.140625" customWidth="1"/>
  </cols>
  <sheetData>
    <row r="1" spans="1:20" ht="28.5">
      <c r="A1" s="58" t="s">
        <v>23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20" ht="15.75" thickBot="1">
      <c r="A2" s="59" t="s">
        <v>85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20" s="12" customFormat="1" ht="43.5" customHeight="1">
      <c r="A3" s="60" t="s">
        <v>3</v>
      </c>
      <c r="B3" s="62" t="s">
        <v>0</v>
      </c>
      <c r="C3" s="63"/>
      <c r="D3" s="64"/>
      <c r="E3" s="68" t="s">
        <v>81</v>
      </c>
      <c r="F3" s="68" t="s">
        <v>82</v>
      </c>
      <c r="G3" s="68" t="s">
        <v>83</v>
      </c>
      <c r="H3" s="68" t="s">
        <v>84</v>
      </c>
      <c r="I3" s="68" t="s">
        <v>86</v>
      </c>
      <c r="J3" s="70" t="s">
        <v>76</v>
      </c>
      <c r="K3" s="71"/>
      <c r="L3" s="70" t="s">
        <v>74</v>
      </c>
      <c r="M3" s="71"/>
      <c r="N3" s="68" t="s">
        <v>77</v>
      </c>
      <c r="O3" s="68" t="s">
        <v>75</v>
      </c>
      <c r="P3" s="72" t="s">
        <v>25</v>
      </c>
      <c r="Q3" s="68" t="s">
        <v>87</v>
      </c>
      <c r="R3" s="68" t="s">
        <v>87</v>
      </c>
      <c r="S3" s="78" t="s">
        <v>159</v>
      </c>
    </row>
    <row r="4" spans="1:20" s="12" customFormat="1" ht="69" customHeight="1" thickBot="1">
      <c r="A4" s="61"/>
      <c r="B4" s="65"/>
      <c r="C4" s="66"/>
      <c r="D4" s="67"/>
      <c r="E4" s="69"/>
      <c r="F4" s="69"/>
      <c r="G4" s="69"/>
      <c r="H4" s="69"/>
      <c r="I4" s="69"/>
      <c r="J4" s="14" t="s">
        <v>1</v>
      </c>
      <c r="K4" s="14" t="s">
        <v>2</v>
      </c>
      <c r="L4" s="23" t="s">
        <v>1</v>
      </c>
      <c r="M4" s="14" t="s">
        <v>2</v>
      </c>
      <c r="N4" s="69"/>
      <c r="O4" s="69"/>
      <c r="P4" s="73"/>
      <c r="Q4" s="69"/>
      <c r="R4" s="69"/>
      <c r="S4" s="79"/>
    </row>
    <row r="5" spans="1:20">
      <c r="A5" s="13">
        <v>1</v>
      </c>
      <c r="B5" s="7" t="s">
        <v>4</v>
      </c>
      <c r="C5" s="7" t="s">
        <v>5</v>
      </c>
      <c r="D5" s="15">
        <v>21</v>
      </c>
      <c r="E5" s="19">
        <f>'ведомость нач.'!B58+'ведомость нач.'!B59+'ведомость нач.'!B64+'ведомость нач.'!B68+'ведомость нач.'!B70</f>
        <v>84865.98</v>
      </c>
      <c r="F5" s="19">
        <f>'ведомость нач.'!C58+'ведомость нач.'!C59+'ведомость нач.'!C64+'ведомость нач.'!C68+'ведомость нач.'!C70</f>
        <v>67424.95</v>
      </c>
      <c r="G5" s="19">
        <f>'ведомость нач.'!D71</f>
        <v>538374.61</v>
      </c>
      <c r="H5" s="19">
        <f>E5-F5</f>
        <v>17441.03</v>
      </c>
      <c r="I5" s="19">
        <f>G5-H5</f>
        <v>520933.57999999996</v>
      </c>
      <c r="J5" s="24" t="s">
        <v>180</v>
      </c>
      <c r="K5" s="19">
        <v>462</v>
      </c>
      <c r="L5" s="17"/>
      <c r="M5" s="19"/>
      <c r="N5" s="19">
        <v>378.8</v>
      </c>
      <c r="O5" s="19">
        <f>N5*T9</f>
        <v>45672.738409242535</v>
      </c>
      <c r="P5" s="19">
        <f>N5*T5</f>
        <v>17165.926425946778</v>
      </c>
      <c r="Q5" s="19">
        <f>K5+M5+O5+P5</f>
        <v>63300.664835189309</v>
      </c>
      <c r="R5" s="25">
        <f>E5-H5-I5-K5-M5-O5-P5</f>
        <v>-516809.29483518924</v>
      </c>
      <c r="S5" s="50">
        <f>E5-Q5</f>
        <v>21565.315164810687</v>
      </c>
      <c r="T5">
        <f>2257008/N71</f>
        <v>45.316595633439221</v>
      </c>
    </row>
    <row r="6" spans="1:20">
      <c r="A6" s="6">
        <v>2</v>
      </c>
      <c r="B6" s="1" t="s">
        <v>4</v>
      </c>
      <c r="C6" s="1" t="s">
        <v>5</v>
      </c>
      <c r="D6" s="16">
        <v>22</v>
      </c>
      <c r="E6" s="18">
        <f>'ведомость нач.'!B75+'ведомость нач.'!B76+'ведомость нач.'!B78+'ведомость нач.'!B80+'ведомость нач.'!B83</f>
        <v>84642</v>
      </c>
      <c r="F6" s="18">
        <f>'ведомость нач.'!C75+'ведомость нач.'!C76+'ведомость нач.'!C78+'ведомость нач.'!C80+'ведомость нач.'!C83</f>
        <v>84309.81</v>
      </c>
      <c r="G6" s="18">
        <f>'ведомость нач.'!D86</f>
        <v>38199.67</v>
      </c>
      <c r="H6" s="19">
        <f>E6-F6</f>
        <v>332.19000000000233</v>
      </c>
      <c r="I6" s="19">
        <f>G6-H6</f>
        <v>37867.479999999996</v>
      </c>
      <c r="J6" s="26"/>
      <c r="K6" s="4"/>
      <c r="L6" s="17"/>
      <c r="M6" s="4"/>
      <c r="N6" s="4">
        <v>378</v>
      </c>
      <c r="O6" s="19">
        <f>N6*T9</f>
        <v>45576.280672369794</v>
      </c>
      <c r="P6" s="19">
        <f>N6*T5</f>
        <v>17129.673149440026</v>
      </c>
      <c r="Q6" s="19">
        <f t="shared" ref="Q6:Q69" si="0">K6+M6+O6+P6</f>
        <v>62705.953821809817</v>
      </c>
      <c r="R6" s="27">
        <f>E6-H6-I6-K6-M6-O6-P6</f>
        <v>-16263.623821809819</v>
      </c>
      <c r="S6" s="50">
        <f t="shared" ref="S6:S69" si="1">E6-Q6</f>
        <v>21936.046178190183</v>
      </c>
    </row>
    <row r="7" spans="1:20" ht="23.25">
      <c r="A7" s="6">
        <v>3</v>
      </c>
      <c r="B7" s="1" t="s">
        <v>4</v>
      </c>
      <c r="C7" s="1" t="s">
        <v>5</v>
      </c>
      <c r="D7" s="16">
        <v>23</v>
      </c>
      <c r="E7" s="4">
        <f>'ведомость нач.'!B90+'ведомость нач.'!B94+'ведомость нач.'!B95+'ведомость нач.'!B97+'ведомость нач.'!B98</f>
        <v>105329.04</v>
      </c>
      <c r="F7" s="4">
        <f>'ведомость нач.'!C90+'ведомость нач.'!C94+'ведомость нач.'!C95+'ведомость нач.'!C97+'ведомость нач.'!C98</f>
        <v>105417.26999999999</v>
      </c>
      <c r="G7" s="4">
        <f>'ведомость нач.'!D101</f>
        <v>49732.39</v>
      </c>
      <c r="H7" s="19">
        <f t="shared" ref="H7:H58" si="2">E7-F7</f>
        <v>-88.229999999995925</v>
      </c>
      <c r="I7" s="19">
        <f t="shared" ref="I7:I58" si="3">G7-H7</f>
        <v>49820.619999999995</v>
      </c>
      <c r="J7" s="17" t="s">
        <v>181</v>
      </c>
      <c r="K7" s="4">
        <v>14162.94</v>
      </c>
      <c r="L7" s="17"/>
      <c r="M7" s="4"/>
      <c r="N7" s="4">
        <v>387</v>
      </c>
      <c r="O7" s="19">
        <f>N7*T9</f>
        <v>46661.430212188119</v>
      </c>
      <c r="P7" s="19">
        <f>N7*T5</f>
        <v>17537.522510140978</v>
      </c>
      <c r="Q7" s="19">
        <f t="shared" si="0"/>
        <v>78361.892722329096</v>
      </c>
      <c r="R7" s="27">
        <f t="shared" ref="R7:R70" si="4">E7-H7-I7-K7-M7-O7-P7</f>
        <v>-22765.242722329105</v>
      </c>
      <c r="S7" s="50">
        <f t="shared" si="1"/>
        <v>26967.147277670898</v>
      </c>
      <c r="T7">
        <f>1034912.49+4753931.8+21615.52+5949.78+6300+8079.22+390+74371+4504+36167+35565.91+23350.05</f>
        <v>6005136.7699999996</v>
      </c>
    </row>
    <row r="8" spans="1:20">
      <c r="A8" s="6">
        <v>4</v>
      </c>
      <c r="B8" s="1" t="s">
        <v>4</v>
      </c>
      <c r="C8" s="1" t="s">
        <v>5</v>
      </c>
      <c r="D8" s="2">
        <v>24</v>
      </c>
      <c r="E8" s="4">
        <f>'ведомость нач.'!B103+'ведомость нач.'!B109+'ведомость нач.'!B110+'ведомость нач.'!B111+'ведомость нач.'!B112</f>
        <v>107699.94</v>
      </c>
      <c r="F8" s="4">
        <f>'ведомость нач.'!C103+'ведомость нач.'!C109+'ведомость нач.'!C110+'ведомость нач.'!C111+'ведомость нач.'!C112</f>
        <v>86529.76</v>
      </c>
      <c r="G8" s="4">
        <f>'ведомость нач.'!D116</f>
        <v>611838.82999999996</v>
      </c>
      <c r="H8" s="19">
        <f t="shared" si="2"/>
        <v>21170.180000000008</v>
      </c>
      <c r="I8" s="19">
        <f t="shared" si="3"/>
        <v>590668.64999999991</v>
      </c>
      <c r="J8" s="17"/>
      <c r="K8" s="4"/>
      <c r="L8" s="17"/>
      <c r="M8" s="4"/>
      <c r="N8" s="4">
        <v>391.9</v>
      </c>
      <c r="O8" s="19">
        <f>N8*T9</f>
        <v>47252.233850533652</v>
      </c>
      <c r="P8" s="19">
        <f>N8*T5</f>
        <v>17759.573828744829</v>
      </c>
      <c r="Q8" s="19">
        <f t="shared" si="0"/>
        <v>65011.807679278485</v>
      </c>
      <c r="R8" s="27">
        <f t="shared" si="4"/>
        <v>-569150.69767927832</v>
      </c>
      <c r="S8" s="50">
        <f t="shared" si="1"/>
        <v>42688.132320721517</v>
      </c>
    </row>
    <row r="9" spans="1:20">
      <c r="A9" s="6">
        <v>5</v>
      </c>
      <c r="B9" s="1" t="s">
        <v>4</v>
      </c>
      <c r="C9" s="1" t="s">
        <v>5</v>
      </c>
      <c r="D9" s="2">
        <v>25</v>
      </c>
      <c r="E9" s="4">
        <f>'ведомость нач.'!B120+'ведомость нач.'!B124+'ведомость нач.'!B125+'ведомость нач.'!B129+'ведомость нач.'!B130</f>
        <v>88068.9</v>
      </c>
      <c r="F9" s="4">
        <f>'ведомость нач.'!C120+'ведомость нач.'!C124+'ведомость нач.'!C125+'ведомость нач.'!C129+'ведомость нач.'!C130</f>
        <v>53874.92</v>
      </c>
      <c r="G9" s="4">
        <f>'ведомость нач.'!D133</f>
        <v>771778.58</v>
      </c>
      <c r="H9" s="19">
        <f t="shared" si="2"/>
        <v>34193.979999999996</v>
      </c>
      <c r="I9" s="19">
        <f t="shared" si="3"/>
        <v>737584.6</v>
      </c>
      <c r="J9" s="17"/>
      <c r="K9" s="4"/>
      <c r="L9" s="17"/>
      <c r="M9" s="4"/>
      <c r="N9" s="4">
        <v>393.2</v>
      </c>
      <c r="O9" s="19">
        <f>N9*T9</f>
        <v>47408.977672951856</v>
      </c>
      <c r="P9" s="19">
        <f>N9*T5</f>
        <v>17818.485403068302</v>
      </c>
      <c r="Q9" s="19">
        <f t="shared" si="0"/>
        <v>65227.463076020154</v>
      </c>
      <c r="R9" s="27">
        <f t="shared" si="4"/>
        <v>-748937.14307602006</v>
      </c>
      <c r="S9" s="50">
        <f t="shared" si="1"/>
        <v>22841.43692397984</v>
      </c>
      <c r="T9">
        <f>T7/N71</f>
        <v>120.57217109092538</v>
      </c>
    </row>
    <row r="10" spans="1:20">
      <c r="A10" s="6">
        <v>6</v>
      </c>
      <c r="B10" s="1" t="s">
        <v>4</v>
      </c>
      <c r="C10" s="1" t="s">
        <v>5</v>
      </c>
      <c r="D10" s="2">
        <v>26</v>
      </c>
      <c r="E10" s="4">
        <f>'ведомость нач.'!B135+'ведомость нач.'!B136+'ведомость нач.'!B137+'ведомость нач.'!B142+'ведомость нач.'!B144</f>
        <v>107154.95999999999</v>
      </c>
      <c r="F10" s="4">
        <f>'ведомость нач.'!C135+'ведомость нач.'!C136+'ведомость нач.'!C137+'ведомость нач.'!C142+'ведомость нач.'!C144</f>
        <v>109080.93</v>
      </c>
      <c r="G10" s="4">
        <f>'ведомость нач.'!D147</f>
        <v>38664.17</v>
      </c>
      <c r="H10" s="19">
        <f t="shared" si="2"/>
        <v>-1925.9700000000012</v>
      </c>
      <c r="I10" s="19">
        <f t="shared" si="3"/>
        <v>40590.14</v>
      </c>
      <c r="J10" s="17"/>
      <c r="K10" s="4"/>
      <c r="L10" s="17"/>
      <c r="M10" s="4"/>
      <c r="N10" s="4">
        <v>392.9</v>
      </c>
      <c r="O10" s="19">
        <f>N10*T9</f>
        <v>47372.806021624579</v>
      </c>
      <c r="P10" s="19">
        <f>N10*T5</f>
        <v>17804.890424378267</v>
      </c>
      <c r="Q10" s="19">
        <f t="shared" si="0"/>
        <v>65177.696446002847</v>
      </c>
      <c r="R10" s="27">
        <f>E10-H10-I10-K10-M10-O10-P10</f>
        <v>3313.093553997147</v>
      </c>
      <c r="S10" s="50">
        <f t="shared" si="1"/>
        <v>41977.263553997145</v>
      </c>
    </row>
    <row r="11" spans="1:20" ht="23.25">
      <c r="A11" s="6">
        <v>7</v>
      </c>
      <c r="B11" s="1" t="s">
        <v>4</v>
      </c>
      <c r="C11" s="1" t="s">
        <v>5</v>
      </c>
      <c r="D11" s="2">
        <v>27</v>
      </c>
      <c r="E11" s="4">
        <f>'ведомость нач.'!B149+'ведомость нач.'!B152+'ведомость нач.'!B155+'ведомость нач.'!B157+'ведомость нач.'!B161</f>
        <v>143392.07999999999</v>
      </c>
      <c r="F11" s="4">
        <f>'ведомость нач.'!C149+'ведомость нач.'!C152+'ведомость нач.'!C155+'ведомость нач.'!C157+'ведомость нач.'!C161</f>
        <v>130803.92000000001</v>
      </c>
      <c r="G11" s="4">
        <f>'ведомость нач.'!D162</f>
        <v>181748.84</v>
      </c>
      <c r="H11" s="19">
        <f t="shared" si="2"/>
        <v>12588.159999999974</v>
      </c>
      <c r="I11" s="19">
        <f t="shared" si="3"/>
        <v>169160.68000000002</v>
      </c>
      <c r="J11" s="17" t="s">
        <v>155</v>
      </c>
      <c r="K11" s="4">
        <f>37517.23+17242+87040.09</f>
        <v>141799.32</v>
      </c>
      <c r="L11" s="17"/>
      <c r="M11" s="4"/>
      <c r="N11" s="4">
        <v>641</v>
      </c>
      <c r="O11" s="19">
        <f>N11*T9</f>
        <v>77286.761669283165</v>
      </c>
      <c r="P11" s="19">
        <f>N11*T5</f>
        <v>29047.937801034539</v>
      </c>
      <c r="Q11" s="19">
        <f t="shared" si="0"/>
        <v>248134.0194703177</v>
      </c>
      <c r="R11" s="27">
        <f t="shared" si="4"/>
        <v>-286490.77947031771</v>
      </c>
      <c r="S11" s="50">
        <f t="shared" si="1"/>
        <v>-104741.93947031771</v>
      </c>
    </row>
    <row r="12" spans="1:20">
      <c r="A12" s="6">
        <v>8</v>
      </c>
      <c r="B12" s="1" t="s">
        <v>4</v>
      </c>
      <c r="C12" s="1" t="s">
        <v>5</v>
      </c>
      <c r="D12" s="2">
        <v>28</v>
      </c>
      <c r="E12" s="4">
        <f>'ведомость нач.'!B164+'ведомость нач.'!B165+'ведомость нач.'!B169+'ведомость нач.'!B173+'ведомость нач.'!B174</f>
        <v>90219.18</v>
      </c>
      <c r="F12" s="4">
        <f>'ведомость нач.'!C164+'ведомость нач.'!C165+'ведомость нач.'!C169+'ведомость нач.'!C173+'ведомость нач.'!C174</f>
        <v>89428.92</v>
      </c>
      <c r="G12" s="4">
        <f>'ведомость нач.'!D177</f>
        <v>107605.9</v>
      </c>
      <c r="H12" s="19">
        <f t="shared" si="2"/>
        <v>790.25999999999476</v>
      </c>
      <c r="I12" s="19">
        <f t="shared" si="3"/>
        <v>106815.64</v>
      </c>
      <c r="J12" s="17"/>
      <c r="K12" s="4"/>
      <c r="L12" s="17"/>
      <c r="M12" s="4"/>
      <c r="N12" s="4">
        <v>402.1</v>
      </c>
      <c r="O12" s="19">
        <f>N12*T9</f>
        <v>48482.069995661099</v>
      </c>
      <c r="P12" s="19">
        <f>N12*T5</f>
        <v>18221.803104205912</v>
      </c>
      <c r="Q12" s="19">
        <f t="shared" si="0"/>
        <v>66703.873099867007</v>
      </c>
      <c r="R12" s="27">
        <f t="shared" si="4"/>
        <v>-84090.593099867008</v>
      </c>
      <c r="S12" s="50">
        <f t="shared" si="1"/>
        <v>23515.306900132986</v>
      </c>
    </row>
    <row r="13" spans="1:20">
      <c r="A13" s="6">
        <v>9</v>
      </c>
      <c r="B13" s="1" t="s">
        <v>4</v>
      </c>
      <c r="C13" s="1" t="s">
        <v>5</v>
      </c>
      <c r="D13" s="2">
        <v>29</v>
      </c>
      <c r="E13" s="4">
        <f>'ведомость нач.'!B181+'ведомость нач.'!B185+'ведомость нач.'!B187+'ведомость нач.'!B193+'ведомость нач.'!B194</f>
        <v>197767.74</v>
      </c>
      <c r="F13" s="4">
        <f>'ведомость нач.'!C181+'ведомость нач.'!C185+'ведомость нач.'!C187+'ведомость нач.'!C193+'ведомость нач.'!C194</f>
        <v>197174.57</v>
      </c>
      <c r="G13" s="4">
        <f>'ведомость нач.'!D196</f>
        <v>113569.45</v>
      </c>
      <c r="H13" s="19">
        <f t="shared" si="2"/>
        <v>593.1699999999837</v>
      </c>
      <c r="I13" s="19">
        <f t="shared" si="3"/>
        <v>112976.28000000001</v>
      </c>
      <c r="J13" s="17"/>
      <c r="K13" s="4"/>
      <c r="L13" s="17" t="s">
        <v>163</v>
      </c>
      <c r="M13" s="4">
        <v>13313.94</v>
      </c>
      <c r="N13" s="4">
        <v>734</v>
      </c>
      <c r="O13" s="19">
        <f>N13*T9</f>
        <v>88499.973580739228</v>
      </c>
      <c r="P13" s="19">
        <f>N13*T5</f>
        <v>33262.381194944384</v>
      </c>
      <c r="Q13" s="19">
        <f t="shared" si="0"/>
        <v>135076.29477568361</v>
      </c>
      <c r="R13" s="27">
        <f t="shared" si="4"/>
        <v>-50878.004775683621</v>
      </c>
      <c r="S13" s="50">
        <f t="shared" si="1"/>
        <v>62691.445224316383</v>
      </c>
    </row>
    <row r="14" spans="1:20">
      <c r="A14" s="6">
        <v>10</v>
      </c>
      <c r="B14" s="1" t="s">
        <v>4</v>
      </c>
      <c r="C14" s="1" t="s">
        <v>6</v>
      </c>
      <c r="D14" s="2">
        <v>4</v>
      </c>
      <c r="E14" s="4">
        <f>'ведомость нач.'!B213+'ведомость нач.'!B218+'ведомость нач.'!B222+'ведомость нач.'!B223+'ведомость нач.'!B224</f>
        <v>188229.71999999997</v>
      </c>
      <c r="F14" s="4">
        <f>'ведомость нач.'!C213+'ведомость нач.'!C218+'ведомость нач.'!C222+'ведомость нач.'!C223+'ведомость нач.'!C224</f>
        <v>182970.89</v>
      </c>
      <c r="G14" s="4">
        <f>'ведомость нач.'!D225</f>
        <v>115797.15</v>
      </c>
      <c r="H14" s="19">
        <f t="shared" si="2"/>
        <v>5258.8299999999581</v>
      </c>
      <c r="I14" s="19">
        <f t="shared" si="3"/>
        <v>110538.32000000004</v>
      </c>
      <c r="J14" s="17" t="s">
        <v>191</v>
      </c>
      <c r="K14" s="4">
        <v>5964.3</v>
      </c>
      <c r="L14" s="17"/>
      <c r="M14" s="4"/>
      <c r="N14" s="4">
        <v>692</v>
      </c>
      <c r="O14" s="19">
        <f>N14*T9</f>
        <v>83435.942394920363</v>
      </c>
      <c r="P14" s="19">
        <f>N14*T5</f>
        <v>31359.084178339941</v>
      </c>
      <c r="Q14" s="19">
        <f t="shared" si="0"/>
        <v>120759.3265732603</v>
      </c>
      <c r="R14" s="27">
        <f t="shared" si="4"/>
        <v>-48326.756573260325</v>
      </c>
      <c r="S14" s="50">
        <f t="shared" si="1"/>
        <v>67470.393426739669</v>
      </c>
    </row>
    <row r="15" spans="1:20">
      <c r="A15" s="6">
        <v>11</v>
      </c>
      <c r="B15" s="1" t="s">
        <v>4</v>
      </c>
      <c r="C15" s="1" t="s">
        <v>6</v>
      </c>
      <c r="D15" s="2">
        <v>5</v>
      </c>
      <c r="E15" s="4">
        <f>'ведомость нач.'!B231+'ведомость нач.'!B236+'ведомость нач.'!B237+'ведомость нач.'!B240</f>
        <v>198334.25999999998</v>
      </c>
      <c r="F15" s="4">
        <f>'ведомость нач.'!C231+'ведомость нач.'!C236+'ведомость нач.'!C237+'ведомость нач.'!C240</f>
        <v>145190.59999999998</v>
      </c>
      <c r="G15" s="4">
        <f>'ведомость нач.'!D241</f>
        <v>1456644.87</v>
      </c>
      <c r="H15" s="19">
        <f t="shared" si="2"/>
        <v>53143.66</v>
      </c>
      <c r="I15" s="19">
        <f t="shared" si="3"/>
        <v>1403501.2100000002</v>
      </c>
      <c r="J15" s="17"/>
      <c r="K15" s="4"/>
      <c r="L15" s="17"/>
      <c r="M15" s="4"/>
      <c r="N15" s="4">
        <v>884.5</v>
      </c>
      <c r="O15" s="19">
        <f>N15*T9</f>
        <v>106646.0853299235</v>
      </c>
      <c r="P15" s="19">
        <f>N15*T5</f>
        <v>40082.52883777699</v>
      </c>
      <c r="Q15" s="19">
        <f t="shared" si="0"/>
        <v>146728.61416770049</v>
      </c>
      <c r="R15" s="27">
        <f t="shared" si="4"/>
        <v>-1405039.2241677009</v>
      </c>
      <c r="S15" s="50">
        <f t="shared" si="1"/>
        <v>51605.645832299488</v>
      </c>
    </row>
    <row r="16" spans="1:20" ht="23.25">
      <c r="A16" s="6">
        <v>12</v>
      </c>
      <c r="B16" s="1" t="s">
        <v>4</v>
      </c>
      <c r="C16" s="1" t="s">
        <v>6</v>
      </c>
      <c r="D16" s="2" t="s">
        <v>7</v>
      </c>
      <c r="E16" s="4">
        <f>'ведомость нач.'!B266+'ведомость нач.'!B267+'ведомость нач.'!B269+'ведомость нач.'!B270</f>
        <v>38753.82</v>
      </c>
      <c r="F16" s="4">
        <f>'ведомость нач.'!C266+'ведомость нач.'!C267+'ведомость нач.'!C269+'ведомость нач.'!C270</f>
        <v>24222.97</v>
      </c>
      <c r="G16" s="4"/>
      <c r="H16" s="19">
        <f t="shared" si="2"/>
        <v>14530.849999999999</v>
      </c>
      <c r="I16" s="19">
        <f t="shared" si="3"/>
        <v>-14530.849999999999</v>
      </c>
      <c r="J16" s="17" t="s">
        <v>181</v>
      </c>
      <c r="K16" s="4">
        <v>14162.94</v>
      </c>
      <c r="L16" s="17"/>
      <c r="M16" s="4"/>
      <c r="N16" s="4">
        <v>219.1</v>
      </c>
      <c r="O16" s="19">
        <f>N16*T9</f>
        <v>26417.362686021752</v>
      </c>
      <c r="P16" s="19">
        <f>N16*T5</f>
        <v>9928.866103286533</v>
      </c>
      <c r="Q16" s="19">
        <f t="shared" si="0"/>
        <v>50509.168789308285</v>
      </c>
      <c r="R16" s="27">
        <f t="shared" si="4"/>
        <v>-11755.348789308287</v>
      </c>
      <c r="S16" s="50">
        <f t="shared" si="1"/>
        <v>-11755.348789308286</v>
      </c>
    </row>
    <row r="17" spans="1:19">
      <c r="A17" s="6">
        <v>13</v>
      </c>
      <c r="B17" s="1" t="s">
        <v>4</v>
      </c>
      <c r="C17" s="1" t="s">
        <v>10</v>
      </c>
      <c r="D17" s="2">
        <v>6</v>
      </c>
      <c r="E17" s="4">
        <f>'ведомость нач.'!B476+'ведомость нач.'!B478+'ведомость нач.'!B484+'ведомость нач.'!B486+'ведомость нач.'!B490</f>
        <v>198208.38</v>
      </c>
      <c r="F17" s="4">
        <f>'ведомость нач.'!C476+'ведомость нач.'!C478+'ведомость нач.'!C484+'ведомость нач.'!C486+'ведомость нач.'!C490</f>
        <v>181585.48</v>
      </c>
      <c r="G17" s="4">
        <f>'ведомость нач.'!D491</f>
        <v>591622.03</v>
      </c>
      <c r="H17" s="19">
        <f t="shared" si="2"/>
        <v>16622.899999999994</v>
      </c>
      <c r="I17" s="19">
        <f t="shared" si="3"/>
        <v>574999.13</v>
      </c>
      <c r="J17" s="17"/>
      <c r="K17" s="4"/>
      <c r="L17" s="17"/>
      <c r="M17" s="4"/>
      <c r="N17" s="4">
        <v>696.6</v>
      </c>
      <c r="O17" s="19">
        <f>N17*T9+11497.25</f>
        <v>95487.824381938626</v>
      </c>
      <c r="P17" s="19">
        <f>N17*T5</f>
        <v>31567.540518253762</v>
      </c>
      <c r="Q17" s="19">
        <f t="shared" si="0"/>
        <v>127055.36490019239</v>
      </c>
      <c r="R17" s="27">
        <f t="shared" si="4"/>
        <v>-520469.01490019239</v>
      </c>
      <c r="S17" s="50">
        <f t="shared" si="1"/>
        <v>71153.015099807613</v>
      </c>
    </row>
    <row r="18" spans="1:19">
      <c r="A18" s="6">
        <v>14</v>
      </c>
      <c r="B18" s="1" t="s">
        <v>4</v>
      </c>
      <c r="C18" s="1" t="s">
        <v>10</v>
      </c>
      <c r="D18" s="2">
        <v>7</v>
      </c>
      <c r="E18" s="4">
        <f>'ведомость нач.'!B495+'ведомость нач.'!B500+'ведомость нач.'!B503+'ведомость нач.'!B506+'ведомость нач.'!B507</f>
        <v>212528.82</v>
      </c>
      <c r="F18" s="4">
        <f>'ведомость нач.'!C495+'ведомость нач.'!C500+'ведомость нач.'!C503+'ведомость нач.'!C506+'ведомость нач.'!C507</f>
        <v>222510.05</v>
      </c>
      <c r="G18" s="4">
        <f>'ведомость нач.'!D508</f>
        <v>113568.02</v>
      </c>
      <c r="H18" s="19">
        <f t="shared" si="2"/>
        <v>-9981.2299999999814</v>
      </c>
      <c r="I18" s="19">
        <f t="shared" si="3"/>
        <v>123549.24999999999</v>
      </c>
      <c r="J18" s="17"/>
      <c r="K18" s="4"/>
      <c r="L18" s="17" t="s">
        <v>157</v>
      </c>
      <c r="M18" s="4">
        <v>20285.38</v>
      </c>
      <c r="N18" s="4">
        <v>745.6</v>
      </c>
      <c r="O18" s="19">
        <f>N18*T9-17275.81</f>
        <v>72622.800765393971</v>
      </c>
      <c r="P18" s="19">
        <f>N18*T5</f>
        <v>33788.053704292281</v>
      </c>
      <c r="Q18" s="19">
        <f t="shared" si="0"/>
        <v>126696.23446968626</v>
      </c>
      <c r="R18" s="27">
        <f t="shared" si="4"/>
        <v>-27735.434469686254</v>
      </c>
      <c r="S18" s="50">
        <f t="shared" si="1"/>
        <v>85832.58553031375</v>
      </c>
    </row>
    <row r="19" spans="1:19">
      <c r="A19" s="6">
        <v>15</v>
      </c>
      <c r="B19" s="1" t="s">
        <v>4</v>
      </c>
      <c r="C19" s="1" t="s">
        <v>10</v>
      </c>
      <c r="D19" s="2">
        <v>8</v>
      </c>
      <c r="E19" s="4">
        <f>'ведомость нач.'!B513+'ведомость нач.'!B518+'ведомость нач.'!B519+'ведомость нач.'!B522+'ведомость нач.'!B524</f>
        <v>207631.92</v>
      </c>
      <c r="F19" s="4">
        <f>'ведомость нач.'!C513+'ведомость нач.'!C518+'ведомость нач.'!C519+'ведомость нач.'!C522+'ведомость нач.'!C524</f>
        <v>196388.74</v>
      </c>
      <c r="G19" s="4">
        <f>'ведомость нач.'!D525</f>
        <v>268239.8</v>
      </c>
      <c r="H19" s="19">
        <f t="shared" si="2"/>
        <v>11243.180000000022</v>
      </c>
      <c r="I19" s="19">
        <f t="shared" si="3"/>
        <v>256996.61999999997</v>
      </c>
      <c r="J19" s="17"/>
      <c r="K19" s="4"/>
      <c r="L19" s="17" t="s">
        <v>157</v>
      </c>
      <c r="M19" s="4">
        <v>20285.38</v>
      </c>
      <c r="N19" s="4">
        <v>729</v>
      </c>
      <c r="O19" s="19">
        <f>N19*T9+7264.53</f>
        <v>95161.642725284604</v>
      </c>
      <c r="P19" s="19">
        <f>N19*T5</f>
        <v>33035.798216777192</v>
      </c>
      <c r="Q19" s="19">
        <f t="shared" si="0"/>
        <v>148482.82094206181</v>
      </c>
      <c r="R19" s="27">
        <f t="shared" si="4"/>
        <v>-209090.70094206175</v>
      </c>
      <c r="S19" s="50">
        <f t="shared" si="1"/>
        <v>59149.099057938205</v>
      </c>
    </row>
    <row r="20" spans="1:19">
      <c r="A20" s="6">
        <v>16</v>
      </c>
      <c r="B20" s="1" t="s">
        <v>4</v>
      </c>
      <c r="C20" s="1" t="s">
        <v>10</v>
      </c>
      <c r="D20" s="2">
        <v>10</v>
      </c>
      <c r="E20" s="4">
        <f>'ведомость нач.'!B542+'ведомость нач.'!B543+'ведомость нач.'!B544+'ведомость нач.'!B549+'ведомость нач.'!B551</f>
        <v>114990.48000000001</v>
      </c>
      <c r="F20" s="4">
        <f>'ведомость нач.'!C542+'ведомость нач.'!C543+'ведомость нач.'!C544+'ведомость нач.'!C549+'ведомость нач.'!C551</f>
        <v>116181.98000000001</v>
      </c>
      <c r="G20" s="4">
        <f>'ведомость нач.'!D553</f>
        <v>44774.22</v>
      </c>
      <c r="H20" s="19">
        <f t="shared" si="2"/>
        <v>-1191.5</v>
      </c>
      <c r="I20" s="19">
        <f t="shared" si="3"/>
        <v>45965.72</v>
      </c>
      <c r="J20" s="17"/>
      <c r="K20" s="4"/>
      <c r="L20" s="17"/>
      <c r="M20" s="4"/>
      <c r="N20" s="4">
        <v>404.6</v>
      </c>
      <c r="O20" s="19">
        <f>N20*T9</f>
        <v>48783.50042338841</v>
      </c>
      <c r="P20" s="19">
        <f>N20*T5</f>
        <v>18335.094593289508</v>
      </c>
      <c r="Q20" s="19">
        <f t="shared" si="0"/>
        <v>67118.595016677922</v>
      </c>
      <c r="R20" s="27">
        <f t="shared" si="4"/>
        <v>3097.6649833220908</v>
      </c>
      <c r="S20" s="50">
        <f t="shared" si="1"/>
        <v>47871.884983322088</v>
      </c>
    </row>
    <row r="21" spans="1:19">
      <c r="A21" s="6">
        <v>17</v>
      </c>
      <c r="B21" s="1" t="s">
        <v>4</v>
      </c>
      <c r="C21" s="1" t="s">
        <v>10</v>
      </c>
      <c r="D21" s="2">
        <v>11</v>
      </c>
      <c r="E21" s="4">
        <f>'ведомость нач.'!B556+'ведомость нач.'!B560+'ведомость нач.'!B561+'ведомость нач.'!B568+'ведомость нач.'!B573</f>
        <v>374836.44</v>
      </c>
      <c r="F21" s="4">
        <f>'ведомость нач.'!C556+'ведомость нач.'!C560+'ведомость нач.'!C561+'ведомость нач.'!C568+'ведомость нач.'!C573</f>
        <v>337126.32999999996</v>
      </c>
      <c r="G21" s="4">
        <f>'ведомость нач.'!D574</f>
        <v>1102644.51</v>
      </c>
      <c r="H21" s="19">
        <f t="shared" si="2"/>
        <v>37710.110000000044</v>
      </c>
      <c r="I21" s="19">
        <f t="shared" si="3"/>
        <v>1064934.3999999999</v>
      </c>
      <c r="J21" s="17" t="s">
        <v>179</v>
      </c>
      <c r="K21" s="4">
        <f>35031+68100.55</f>
        <v>103131.55</v>
      </c>
      <c r="L21" s="17" t="s">
        <v>157</v>
      </c>
      <c r="M21" s="4">
        <v>20285.38</v>
      </c>
      <c r="N21" s="4">
        <v>1316.6</v>
      </c>
      <c r="O21" s="19">
        <f>N21*T9+12015.95</f>
        <v>170761.27045831236</v>
      </c>
      <c r="P21" s="19">
        <f>N21*T5</f>
        <v>59663.829810986077</v>
      </c>
      <c r="Q21" s="19">
        <f t="shared" si="0"/>
        <v>353842.03026929841</v>
      </c>
      <c r="R21" s="27">
        <f t="shared" si="4"/>
        <v>-1081650.1002692985</v>
      </c>
      <c r="S21" s="50">
        <f t="shared" si="1"/>
        <v>20994.409730701591</v>
      </c>
    </row>
    <row r="22" spans="1:19" ht="34.5">
      <c r="A22" s="6">
        <v>18</v>
      </c>
      <c r="B22" s="1" t="s">
        <v>4</v>
      </c>
      <c r="C22" s="1" t="s">
        <v>10</v>
      </c>
      <c r="D22" s="2">
        <v>12</v>
      </c>
      <c r="E22" s="4">
        <f>'ведомость нач.'!B577+'ведомость нач.'!B581+'ведомость нач.'!B582+'ведомость нач.'!B589+'ведомость нач.'!B592</f>
        <v>375946.74</v>
      </c>
      <c r="F22" s="4">
        <f>'ведомость нач.'!C577+'ведомость нач.'!C581+'ведомость нач.'!C582+'ведомость нач.'!C589+'ведомость нач.'!C592</f>
        <v>352637.70999999996</v>
      </c>
      <c r="G22" s="4">
        <f>'ведомость нач.'!D595</f>
        <v>344763.57</v>
      </c>
      <c r="H22" s="19">
        <f t="shared" si="2"/>
        <v>23309.030000000028</v>
      </c>
      <c r="I22" s="19">
        <f t="shared" si="3"/>
        <v>321454.53999999998</v>
      </c>
      <c r="J22" s="17" t="s">
        <v>173</v>
      </c>
      <c r="K22" s="4">
        <f>10033.5+2228</f>
        <v>12261.5</v>
      </c>
      <c r="L22" s="17"/>
      <c r="M22" s="4"/>
      <c r="N22" s="4">
        <v>1320.5</v>
      </c>
      <c r="O22" s="19">
        <f>N22*T9+6910.51</f>
        <v>166126.06192556699</v>
      </c>
      <c r="P22" s="19">
        <f>N22*T5</f>
        <v>59840.564533956494</v>
      </c>
      <c r="Q22" s="19">
        <f t="shared" si="0"/>
        <v>238228.12645952348</v>
      </c>
      <c r="R22" s="27">
        <f t="shared" si="4"/>
        <v>-207044.9564595235</v>
      </c>
      <c r="S22" s="50">
        <f t="shared" si="1"/>
        <v>137718.61354047651</v>
      </c>
    </row>
    <row r="23" spans="1:19" ht="34.5">
      <c r="A23" s="6">
        <v>19</v>
      </c>
      <c r="B23" s="1" t="s">
        <v>4</v>
      </c>
      <c r="C23" s="1" t="s">
        <v>10</v>
      </c>
      <c r="D23" s="2">
        <v>13</v>
      </c>
      <c r="E23" s="4">
        <f>'ведомость нач.'!B598+'ведомость нач.'!B599+'ведомость нач.'!B602+'ведомость нач.'!B614+'ведомость нач.'!B617</f>
        <v>375348.83999999997</v>
      </c>
      <c r="F23" s="4">
        <f>'ведомость нач.'!C598+'ведомость нач.'!C599+'ведомость нач.'!C602+'ведомость нач.'!C614+'ведомость нач.'!C617</f>
        <v>366010.27</v>
      </c>
      <c r="G23" s="4">
        <f>'ведомость нач.'!D618</f>
        <v>616983.63</v>
      </c>
      <c r="H23" s="19">
        <f t="shared" si="2"/>
        <v>9338.5699999999488</v>
      </c>
      <c r="I23" s="19">
        <f t="shared" si="3"/>
        <v>607645.06000000006</v>
      </c>
      <c r="J23" s="17" t="s">
        <v>190</v>
      </c>
      <c r="K23" s="4">
        <f>510+16332.02</f>
        <v>16842.02</v>
      </c>
      <c r="L23" s="17"/>
      <c r="M23" s="4"/>
      <c r="N23" s="4">
        <v>1316.5</v>
      </c>
      <c r="O23" s="19">
        <f>N23*T9+33983.86</f>
        <v>192717.12324120326</v>
      </c>
      <c r="P23" s="19">
        <f>N23*T5</f>
        <v>59659.298151422736</v>
      </c>
      <c r="Q23" s="19">
        <f t="shared" si="0"/>
        <v>269218.44139262597</v>
      </c>
      <c r="R23" s="27">
        <f t="shared" si="4"/>
        <v>-510853.23139262607</v>
      </c>
      <c r="S23" s="50">
        <f t="shared" si="1"/>
        <v>106130.39860737399</v>
      </c>
    </row>
    <row r="24" spans="1:19">
      <c r="A24" s="6">
        <v>20</v>
      </c>
      <c r="B24" s="1" t="s">
        <v>4</v>
      </c>
      <c r="C24" s="1" t="s">
        <v>10</v>
      </c>
      <c r="D24" s="2">
        <v>14</v>
      </c>
      <c r="E24" s="4">
        <f>'ведомость нач.'!B620+'ведомость нач.'!B625+'ведомость нач.'!B627+'ведомость нач.'!B633+'ведомость нач.'!B635</f>
        <v>371989.31999999995</v>
      </c>
      <c r="F24" s="4">
        <f>'ведомость нач.'!C620+'ведомость нач.'!C625+'ведомость нач.'!C627+'ведомость нач.'!C633+'ведомость нач.'!C635</f>
        <v>338107.18</v>
      </c>
      <c r="G24" s="4">
        <f>'ведомость нач.'!D639</f>
        <v>1346988.43</v>
      </c>
      <c r="H24" s="19">
        <f t="shared" si="2"/>
        <v>33882.139999999956</v>
      </c>
      <c r="I24" s="19">
        <f t="shared" si="3"/>
        <v>1313106.29</v>
      </c>
      <c r="J24" s="17" t="s">
        <v>183</v>
      </c>
      <c r="K24" s="4">
        <v>3177.14</v>
      </c>
      <c r="L24" s="17" t="s">
        <v>157</v>
      </c>
      <c r="M24" s="4">
        <f>944+20285.38</f>
        <v>21229.38</v>
      </c>
      <c r="N24" s="4">
        <v>1306.7</v>
      </c>
      <c r="O24" s="19">
        <f>N24*T9+31973.82</f>
        <v>189525.47596451221</v>
      </c>
      <c r="P24" s="19">
        <f>N24*T5</f>
        <v>59215.195514215033</v>
      </c>
      <c r="Q24" s="19">
        <f t="shared" si="0"/>
        <v>273147.19147872721</v>
      </c>
      <c r="R24" s="27">
        <f t="shared" si="4"/>
        <v>-1248146.3014787273</v>
      </c>
      <c r="S24" s="50">
        <f t="shared" si="1"/>
        <v>98842.128521272738</v>
      </c>
    </row>
    <row r="25" spans="1:19" ht="34.5">
      <c r="A25" s="6">
        <v>21</v>
      </c>
      <c r="B25" s="1" t="s">
        <v>4</v>
      </c>
      <c r="C25" s="1" t="s">
        <v>10</v>
      </c>
      <c r="D25" s="2">
        <v>15</v>
      </c>
      <c r="E25" s="4">
        <f>'ведомость нач.'!B645+'ведомость нач.'!B648+'ведомость нач.'!B650+'ведомость нач.'!B653+'ведомость нач.'!B655</f>
        <v>383690.52</v>
      </c>
      <c r="F25" s="4">
        <f>'ведомость нач.'!C645+'ведомость нач.'!C648+'ведомость нач.'!C650+'ведомость нач.'!C653+'ведомость нач.'!C655</f>
        <v>355256.32000000001</v>
      </c>
      <c r="G25" s="4">
        <f>'ведомость нач.'!D660</f>
        <v>1555214.05</v>
      </c>
      <c r="H25" s="19">
        <f t="shared" si="2"/>
        <v>28434.200000000012</v>
      </c>
      <c r="I25" s="19">
        <f t="shared" si="3"/>
        <v>1526779.85</v>
      </c>
      <c r="J25" s="17" t="s">
        <v>172</v>
      </c>
      <c r="K25" s="4">
        <f>31260+2228+42493</f>
        <v>75981</v>
      </c>
      <c r="L25" s="17"/>
      <c r="M25" s="4"/>
      <c r="N25" s="4">
        <v>1348.6</v>
      </c>
      <c r="O25" s="19">
        <f>N25*T9+9396.72</f>
        <v>172000.34993322197</v>
      </c>
      <c r="P25" s="19">
        <f>N25*T5</f>
        <v>61113.960871256131</v>
      </c>
      <c r="Q25" s="19">
        <f t="shared" si="0"/>
        <v>309095.31080447813</v>
      </c>
      <c r="R25" s="27">
        <f t="shared" si="4"/>
        <v>-1480618.8408044782</v>
      </c>
      <c r="S25" s="50">
        <f t="shared" si="1"/>
        <v>74595.209195521893</v>
      </c>
    </row>
    <row r="26" spans="1:19" ht="45.75">
      <c r="A26" s="6">
        <v>22</v>
      </c>
      <c r="B26" s="1" t="s">
        <v>4</v>
      </c>
      <c r="C26" s="1" t="s">
        <v>10</v>
      </c>
      <c r="D26" s="2">
        <v>16</v>
      </c>
      <c r="E26" s="4">
        <f>'ведомость нач.'!B665+'ведомость нач.'!B667+'ведомость нач.'!B677+'ведомость нач.'!B679+'ведомость нач.'!B680</f>
        <v>379790.04</v>
      </c>
      <c r="F26" s="4">
        <f>'ведомость нач.'!C665+'ведомость нач.'!C667+'ведомость нач.'!C677+'ведомость нач.'!C679+'ведомость нач.'!C680</f>
        <v>368804.14</v>
      </c>
      <c r="G26" s="4">
        <f>'ведомость нач.'!D683</f>
        <v>186366.44</v>
      </c>
      <c r="H26" s="19">
        <f t="shared" si="2"/>
        <v>10985.899999999965</v>
      </c>
      <c r="I26" s="19">
        <f t="shared" si="3"/>
        <v>175380.54000000004</v>
      </c>
      <c r="J26" s="17" t="s">
        <v>174</v>
      </c>
      <c r="K26" s="4">
        <f>31260+2228+696+1500</f>
        <v>35684</v>
      </c>
      <c r="L26" s="17"/>
      <c r="M26" s="4"/>
      <c r="N26" s="4">
        <v>1328.1</v>
      </c>
      <c r="O26" s="19">
        <f>N26*T9+28595.23</f>
        <v>188727.13042585799</v>
      </c>
      <c r="P26" s="19">
        <f>N26*T5</f>
        <v>60184.970660770625</v>
      </c>
      <c r="Q26" s="19">
        <f t="shared" si="0"/>
        <v>284596.10108662862</v>
      </c>
      <c r="R26" s="27">
        <f t="shared" si="4"/>
        <v>-91172.501086628647</v>
      </c>
      <c r="S26" s="50">
        <f t="shared" si="1"/>
        <v>95193.938913371356</v>
      </c>
    </row>
    <row r="27" spans="1:19">
      <c r="A27" s="6">
        <v>23</v>
      </c>
      <c r="B27" s="1" t="s">
        <v>4</v>
      </c>
      <c r="C27" s="1" t="s">
        <v>10</v>
      </c>
      <c r="D27" s="2">
        <v>17</v>
      </c>
      <c r="E27" s="4">
        <f>'ведомость нач.'!B687+'ведомость нач.'!B690+'ведомость нач.'!B693+'ведомость нач.'!B696+'ведомость нач.'!B698</f>
        <v>376430.88</v>
      </c>
      <c r="F27" s="4">
        <f>'ведомость нач.'!C687+'ведомость нач.'!C690+'ведомость нач.'!C693+'ведомость нач.'!C696+'ведомость нач.'!C698</f>
        <v>371284.06</v>
      </c>
      <c r="G27" s="4">
        <f>'ведомость нач.'!D704</f>
        <v>169902.99</v>
      </c>
      <c r="H27" s="19">
        <f t="shared" si="2"/>
        <v>5146.820000000007</v>
      </c>
      <c r="I27" s="19">
        <f t="shared" si="3"/>
        <v>164756.16999999998</v>
      </c>
      <c r="J27" s="17" t="s">
        <v>165</v>
      </c>
      <c r="K27" s="4">
        <v>10033.5</v>
      </c>
      <c r="L27" s="17" t="s">
        <v>160</v>
      </c>
      <c r="M27" s="4">
        <v>3717</v>
      </c>
      <c r="N27" s="4">
        <v>1322.5</v>
      </c>
      <c r="O27" s="19">
        <f>N27*T9+32271.9</f>
        <v>191728.5962677488</v>
      </c>
      <c r="P27" s="19">
        <f>N27*T5</f>
        <v>59931.19772522337</v>
      </c>
      <c r="Q27" s="19">
        <f t="shared" si="0"/>
        <v>265410.29399297218</v>
      </c>
      <c r="R27" s="27">
        <f t="shared" si="4"/>
        <v>-58882.403992972155</v>
      </c>
      <c r="S27" s="50">
        <f t="shared" si="1"/>
        <v>111020.58600702783</v>
      </c>
    </row>
    <row r="28" spans="1:19" ht="34.5">
      <c r="A28" s="6">
        <v>24</v>
      </c>
      <c r="B28" s="1" t="s">
        <v>4</v>
      </c>
      <c r="C28" s="1" t="s">
        <v>10</v>
      </c>
      <c r="D28" s="2">
        <v>18</v>
      </c>
      <c r="E28" s="4">
        <f>'ведомость нач.'!B706+'ведомость нач.'!B710+'ведомость нач.'!B714+'ведомость нач.'!B716+'ведомость нач.'!B719</f>
        <v>376003.56</v>
      </c>
      <c r="F28" s="4">
        <f>'ведомость нач.'!C706+'ведомость нач.'!C710+'ведомость нач.'!C714+'ведомость нач.'!C716+'ведомость нач.'!C719</f>
        <v>364278.67</v>
      </c>
      <c r="G28" s="4">
        <f>'ведомость нач.'!D725</f>
        <v>273064.11</v>
      </c>
      <c r="H28" s="19">
        <f t="shared" si="2"/>
        <v>11724.890000000014</v>
      </c>
      <c r="I28" s="19">
        <f t="shared" si="3"/>
        <v>261339.21999999997</v>
      </c>
      <c r="J28" s="17" t="s">
        <v>182</v>
      </c>
      <c r="K28" s="4">
        <f>311.17+1687.46</f>
        <v>1998.63</v>
      </c>
      <c r="L28" s="17" t="s">
        <v>164</v>
      </c>
      <c r="M28" s="4">
        <f>6728.4+20285.38</f>
        <v>27013.78</v>
      </c>
      <c r="N28" s="4">
        <v>1321.3</v>
      </c>
      <c r="O28" s="19">
        <f>N28*T9+42018.71</f>
        <v>201330.71966243969</v>
      </c>
      <c r="P28" s="19">
        <f>N28*T5</f>
        <v>59876.817810463239</v>
      </c>
      <c r="Q28" s="19">
        <f t="shared" si="0"/>
        <v>290219.94747290295</v>
      </c>
      <c r="R28" s="27">
        <f t="shared" si="4"/>
        <v>-187280.49747290293</v>
      </c>
      <c r="S28" s="50">
        <f t="shared" si="1"/>
        <v>85783.612527097051</v>
      </c>
    </row>
    <row r="29" spans="1:19" ht="23.25">
      <c r="A29" s="6">
        <v>25</v>
      </c>
      <c r="B29" s="1" t="s">
        <v>11</v>
      </c>
      <c r="C29" s="1" t="s">
        <v>12</v>
      </c>
      <c r="D29" s="2">
        <v>10</v>
      </c>
      <c r="E29" s="4">
        <f>'ведомость нач.'!B729+'ведомость нач.'!B731+'ведомость нач.'!B732+'ведомость нач.'!B736+'ведомость нач.'!B737</f>
        <v>418430.64</v>
      </c>
      <c r="F29" s="4">
        <f>'ведомость нач.'!C729+'ведомость нач.'!C731+'ведомость нач.'!C732+'ведомость нач.'!C736+'ведомость нач.'!C737</f>
        <v>364106.87</v>
      </c>
      <c r="G29" s="4">
        <f>'ведомость нач.'!D747</f>
        <v>1188849.44</v>
      </c>
      <c r="H29" s="19">
        <f t="shared" si="2"/>
        <v>54323.770000000019</v>
      </c>
      <c r="I29" s="19">
        <f t="shared" si="3"/>
        <v>1134525.67</v>
      </c>
      <c r="J29" s="17" t="s">
        <v>181</v>
      </c>
      <c r="K29" s="4">
        <v>14162.94</v>
      </c>
      <c r="L29" s="17"/>
      <c r="M29" s="4"/>
      <c r="N29" s="4">
        <v>1283</v>
      </c>
      <c r="O29" s="19">
        <f>N29*T9+12478.1</f>
        <v>167172.19550965726</v>
      </c>
      <c r="P29" s="19">
        <f>N29*T5</f>
        <v>58141.192197702519</v>
      </c>
      <c r="Q29" s="19">
        <f t="shared" si="0"/>
        <v>239476.3277073598</v>
      </c>
      <c r="R29" s="27">
        <f t="shared" si="4"/>
        <v>-1009895.1277073596</v>
      </c>
      <c r="S29" s="50">
        <f t="shared" si="1"/>
        <v>178954.31229264021</v>
      </c>
    </row>
    <row r="30" spans="1:19">
      <c r="A30" s="6">
        <v>26</v>
      </c>
      <c r="B30" s="1" t="s">
        <v>11</v>
      </c>
      <c r="C30" s="1" t="s">
        <v>12</v>
      </c>
      <c r="D30" s="2">
        <v>11</v>
      </c>
      <c r="E30" s="4">
        <f>'ведомость нач.'!B749+'ведомость нач.'!B751+'ведомость нач.'!B753+'ведомость нач.'!B765+'ведомость нач.'!B766</f>
        <v>412918.5</v>
      </c>
      <c r="F30" s="4">
        <f>'ведомость нач.'!C749+'ведомость нач.'!C751+'ведомость нач.'!C753+'ведомость нач.'!C765+'ведомость нач.'!C766</f>
        <v>380950.36000000004</v>
      </c>
      <c r="G30" s="4">
        <f>'ведомость нач.'!D767</f>
        <v>1194869.68</v>
      </c>
      <c r="H30" s="19">
        <f t="shared" si="2"/>
        <v>31968.139999999956</v>
      </c>
      <c r="I30" s="19">
        <f t="shared" si="3"/>
        <v>1162901.54</v>
      </c>
      <c r="J30" s="17" t="s">
        <v>156</v>
      </c>
      <c r="K30" s="4">
        <v>5357.94</v>
      </c>
      <c r="L30" s="17"/>
      <c r="M30" s="4"/>
      <c r="N30" s="4">
        <v>1214</v>
      </c>
      <c r="O30" s="19">
        <f>N30*T9+20936.3</f>
        <v>167310.9157043834</v>
      </c>
      <c r="P30" s="19">
        <f>N30*T5</f>
        <v>55014.347098995211</v>
      </c>
      <c r="Q30" s="19">
        <f t="shared" si="0"/>
        <v>227683.2028033786</v>
      </c>
      <c r="R30" s="27">
        <f t="shared" si="4"/>
        <v>-1009634.3828033785</v>
      </c>
      <c r="S30" s="50">
        <f t="shared" si="1"/>
        <v>185235.2971966214</v>
      </c>
    </row>
    <row r="31" spans="1:19">
      <c r="A31" s="6">
        <v>27</v>
      </c>
      <c r="B31" s="1" t="s">
        <v>11</v>
      </c>
      <c r="C31" s="1" t="s">
        <v>12</v>
      </c>
      <c r="D31" s="2">
        <v>12</v>
      </c>
      <c r="E31" s="4">
        <f>'ведомость нач.'!B770+'ведомость нач.'!B774+'ведомость нач.'!B776+'ведомость нач.'!B779+'ведомость нач.'!B780</f>
        <v>424595.16000000003</v>
      </c>
      <c r="F31" s="4">
        <f>'ведомость нач.'!C770+'ведомость нач.'!C774+'ведомость нач.'!C776+'ведомость нач.'!C779+'ведомость нач.'!C780</f>
        <v>389088.07000000007</v>
      </c>
      <c r="G31" s="4">
        <f>'ведомость нач.'!D788</f>
        <v>464464.22</v>
      </c>
      <c r="H31" s="19">
        <f t="shared" si="2"/>
        <v>35507.089999999967</v>
      </c>
      <c r="I31" s="19">
        <f t="shared" si="3"/>
        <v>428957.13</v>
      </c>
      <c r="J31" s="17" t="s">
        <v>177</v>
      </c>
      <c r="K31" s="4">
        <f>5464</f>
        <v>5464</v>
      </c>
      <c r="L31" s="17"/>
      <c r="M31" s="4"/>
      <c r="N31" s="4">
        <v>1301.8</v>
      </c>
      <c r="O31" s="19">
        <f>N31*T9+4227.03</f>
        <v>161187.88232616664</v>
      </c>
      <c r="P31" s="19">
        <f>N31*T5</f>
        <v>58993.144195611174</v>
      </c>
      <c r="Q31" s="19">
        <f t="shared" si="0"/>
        <v>225645.02652177782</v>
      </c>
      <c r="R31" s="27">
        <f t="shared" si="4"/>
        <v>-265514.08652177773</v>
      </c>
      <c r="S31" s="50">
        <f t="shared" si="1"/>
        <v>198950.13347822221</v>
      </c>
    </row>
    <row r="32" spans="1:19" ht="57">
      <c r="A32" s="6">
        <v>28</v>
      </c>
      <c r="B32" s="1" t="s">
        <v>11</v>
      </c>
      <c r="C32" s="1" t="s">
        <v>12</v>
      </c>
      <c r="D32" s="2">
        <v>14</v>
      </c>
      <c r="E32" s="4">
        <f>'ведомость нач.'!B790+'ведомость нач.'!B799+'ведомость нач.'!B801+'ведомость нач.'!B803+'ведомость нач.'!B805</f>
        <v>355938.42</v>
      </c>
      <c r="F32" s="4">
        <f>'ведомость нач.'!C790+'ведомость нач.'!C799+'ведомость нач.'!C801+'ведомость нач.'!C803+'ведомость нач.'!C805</f>
        <v>350080.44</v>
      </c>
      <c r="G32" s="4">
        <f>'ведомость нач.'!D809</f>
        <v>176651.93</v>
      </c>
      <c r="H32" s="19">
        <f t="shared" si="2"/>
        <v>5857.9799999999814</v>
      </c>
      <c r="I32" s="19">
        <f t="shared" si="3"/>
        <v>170793.95</v>
      </c>
      <c r="J32" s="17" t="s">
        <v>186</v>
      </c>
      <c r="K32" s="4">
        <f>79125.7+3571.97+13370.5+30666.34+34639.78+57168.64</f>
        <v>218542.93</v>
      </c>
      <c r="L32" s="31"/>
      <c r="M32" s="4"/>
      <c r="N32" s="4">
        <v>1090.5</v>
      </c>
      <c r="O32" s="19">
        <f>N32*T9+20936.3</f>
        <v>152420.25257465412</v>
      </c>
      <c r="P32" s="19">
        <f>N32*T5</f>
        <v>49417.747538265467</v>
      </c>
      <c r="Q32" s="19">
        <f t="shared" si="0"/>
        <v>420380.9301129196</v>
      </c>
      <c r="R32" s="27">
        <f t="shared" si="4"/>
        <v>-241094.4401129196</v>
      </c>
      <c r="S32" s="50">
        <f t="shared" si="1"/>
        <v>-64442.510112919612</v>
      </c>
    </row>
    <row r="33" spans="1:19" ht="45.75">
      <c r="A33" s="6">
        <v>29</v>
      </c>
      <c r="B33" s="1" t="s">
        <v>11</v>
      </c>
      <c r="C33" s="1" t="s">
        <v>12</v>
      </c>
      <c r="D33" s="2">
        <v>15</v>
      </c>
      <c r="E33" s="4">
        <f>'ведомость нач.'!B811+'ведомость нач.'!B817+'ведомость нач.'!B818+'ведомость нач.'!B825+'ведомость нач.'!B829</f>
        <v>355351.38</v>
      </c>
      <c r="F33" s="4">
        <f>'ведомость нач.'!C811+'ведомость нач.'!C817+'ведомость нач.'!C818+'ведомость нач.'!C825+'ведомость нач.'!C829</f>
        <v>340834.41</v>
      </c>
      <c r="G33" s="4">
        <f>'ведомость нач.'!D830</f>
        <v>360136.03</v>
      </c>
      <c r="H33" s="19">
        <f t="shared" si="2"/>
        <v>14516.97000000003</v>
      </c>
      <c r="I33" s="19">
        <f t="shared" si="3"/>
        <v>345619.06</v>
      </c>
      <c r="J33" s="17" t="s">
        <v>187</v>
      </c>
      <c r="K33" s="4">
        <f>13370.5+30666.34+34639.78+57168.64</f>
        <v>135845.26</v>
      </c>
      <c r="L33" s="17"/>
      <c r="M33" s="4"/>
      <c r="N33" s="4">
        <v>1088</v>
      </c>
      <c r="O33" s="19">
        <f>N33*T9+10229.93</f>
        <v>141412.45214692681</v>
      </c>
      <c r="P33" s="19">
        <f>N33*T5</f>
        <v>49304.45604918187</v>
      </c>
      <c r="Q33" s="19">
        <f t="shared" si="0"/>
        <v>326562.16819610866</v>
      </c>
      <c r="R33" s="27">
        <f t="shared" si="4"/>
        <v>-331346.81819610868</v>
      </c>
      <c r="S33" s="50">
        <f t="shared" si="1"/>
        <v>28789.211803891347</v>
      </c>
    </row>
    <row r="34" spans="1:19">
      <c r="A34" s="6">
        <v>30</v>
      </c>
      <c r="B34" s="1" t="s">
        <v>11</v>
      </c>
      <c r="C34" s="1" t="s">
        <v>12</v>
      </c>
      <c r="D34" s="2">
        <v>16</v>
      </c>
      <c r="E34" s="4">
        <f>'ведомость нач.'!B834+'ведомость нач.'!B835+'ведомость нач.'!B836+'ведомость нач.'!B846+'ведомость нач.'!B849</f>
        <v>349154.34</v>
      </c>
      <c r="F34" s="4">
        <f>'ведомость нач.'!C834+'ведомость нач.'!C835+'ведомость нач.'!C836+'ведомость нач.'!C846+'ведомость нач.'!C849</f>
        <v>312191.3</v>
      </c>
      <c r="G34" s="4">
        <f>'ведомость нач.'!D851</f>
        <v>781853.65</v>
      </c>
      <c r="H34" s="19">
        <f t="shared" si="2"/>
        <v>36963.040000000037</v>
      </c>
      <c r="I34" s="19">
        <f t="shared" si="3"/>
        <v>744890.61</v>
      </c>
      <c r="J34" s="17" t="s">
        <v>167</v>
      </c>
      <c r="K34" s="4">
        <f>7047+7047</f>
        <v>14094</v>
      </c>
      <c r="L34" s="17"/>
      <c r="M34" s="4"/>
      <c r="N34" s="4">
        <v>1070.2</v>
      </c>
      <c r="O34" s="19">
        <f>N34*T9+9564.16</f>
        <v>138600.49750150833</v>
      </c>
      <c r="P34" s="19">
        <f>N34*T5</f>
        <v>48497.820646906657</v>
      </c>
      <c r="Q34" s="19">
        <f t="shared" si="0"/>
        <v>201192.31814841498</v>
      </c>
      <c r="R34" s="27">
        <f t="shared" si="4"/>
        <v>-633891.62814841501</v>
      </c>
      <c r="S34" s="50">
        <f t="shared" si="1"/>
        <v>147962.02185158504</v>
      </c>
    </row>
    <row r="35" spans="1:19" ht="23.25">
      <c r="A35" s="6">
        <v>31</v>
      </c>
      <c r="B35" s="1" t="s">
        <v>11</v>
      </c>
      <c r="C35" s="1" t="s">
        <v>12</v>
      </c>
      <c r="D35" s="2">
        <v>17</v>
      </c>
      <c r="E35" s="4">
        <f>'ведомость нач.'!B853+'ведомость нач.'!B858+'ведомость нач.'!B860+'ведомость нач.'!B862+'ведомость нач.'!B865</f>
        <v>361287.42</v>
      </c>
      <c r="F35" s="4">
        <f>'ведомость нач.'!C853+'ведомость нач.'!C858+'ведомость нач.'!C860+'ведомость нач.'!C862+'ведомость нач.'!C865</f>
        <v>352281.13</v>
      </c>
      <c r="G35" s="4">
        <f>'ведомость нач.'!D871</f>
        <v>640228.38</v>
      </c>
      <c r="H35" s="19">
        <f t="shared" si="2"/>
        <v>9006.289999999979</v>
      </c>
      <c r="I35" s="19">
        <f t="shared" si="3"/>
        <v>631222.09000000008</v>
      </c>
      <c r="J35" s="17" t="s">
        <v>184</v>
      </c>
      <c r="K35" s="4">
        <f>3177.14+34639.78</f>
        <v>37816.92</v>
      </c>
      <c r="L35" s="17"/>
      <c r="M35" s="4"/>
      <c r="N35" s="4">
        <v>1108.0999999999999</v>
      </c>
      <c r="O35" s="19">
        <f>N35*T9+12176.25</f>
        <v>145782.27278585441</v>
      </c>
      <c r="P35" s="19">
        <f>N35*T5</f>
        <v>50215.319621413997</v>
      </c>
      <c r="Q35" s="19">
        <f t="shared" si="0"/>
        <v>233814.5124072684</v>
      </c>
      <c r="R35" s="27">
        <f t="shared" si="4"/>
        <v>-512755.47240726848</v>
      </c>
      <c r="S35" s="50">
        <f t="shared" si="1"/>
        <v>127472.90759273159</v>
      </c>
    </row>
    <row r="36" spans="1:19" ht="23.25">
      <c r="A36" s="6">
        <v>32</v>
      </c>
      <c r="B36" s="1" t="s">
        <v>11</v>
      </c>
      <c r="C36" s="1" t="s">
        <v>12</v>
      </c>
      <c r="D36" s="2">
        <v>18</v>
      </c>
      <c r="E36" s="4">
        <f>'ведомость нач.'!B874+'ведомость нач.'!B877+'ведомость нач.'!B879+'ведомость нач.'!B884+'ведомость нач.'!B885</f>
        <v>347327.88</v>
      </c>
      <c r="F36" s="4">
        <f>'ведомость нач.'!C874+'ведомость нач.'!C877+'ведомость нач.'!C879+'ведомость нач.'!C884+'ведомость нач.'!C885</f>
        <v>344721.58000000007</v>
      </c>
      <c r="G36" s="4">
        <f>'ведомость нач.'!D892</f>
        <v>511411.37</v>
      </c>
      <c r="H36" s="19">
        <f t="shared" si="2"/>
        <v>2606.2999999999302</v>
      </c>
      <c r="I36" s="19">
        <f t="shared" si="3"/>
        <v>508805.07000000007</v>
      </c>
      <c r="J36" s="17" t="s">
        <v>185</v>
      </c>
      <c r="K36" s="4">
        <f>119839+34639.78</f>
        <v>154478.78</v>
      </c>
      <c r="L36" s="17"/>
      <c r="M36" s="4"/>
      <c r="N36" s="4">
        <v>1064.4000000000001</v>
      </c>
      <c r="O36" s="19">
        <f>N36*T9+5519.23</f>
        <v>133856.24890918098</v>
      </c>
      <c r="P36" s="19">
        <f>N36*T5</f>
        <v>48234.984392232713</v>
      </c>
      <c r="Q36" s="19">
        <f t="shared" si="0"/>
        <v>336570.01330141374</v>
      </c>
      <c r="R36" s="27">
        <f t="shared" si="4"/>
        <v>-500653.50330141373</v>
      </c>
      <c r="S36" s="50">
        <f t="shared" si="1"/>
        <v>10757.866698586266</v>
      </c>
    </row>
    <row r="37" spans="1:19" ht="45.75">
      <c r="A37" s="6">
        <v>33</v>
      </c>
      <c r="B37" s="1" t="s">
        <v>11</v>
      </c>
      <c r="C37" s="1" t="s">
        <v>12</v>
      </c>
      <c r="D37" s="2">
        <v>19</v>
      </c>
      <c r="E37" s="4">
        <f>'ведомость нач.'!B894+'ведомость нач.'!B895+'ведомость нач.'!B897+'ведомость нач.'!B902+'ведомость нач.'!B907</f>
        <v>269310.24</v>
      </c>
      <c r="F37" s="4">
        <f>'ведомость нач.'!C894+'ведомость нач.'!C895+'ведомость нач.'!C897+'ведомость нач.'!C902+'ведомость нач.'!C907</f>
        <v>234776.28999999998</v>
      </c>
      <c r="G37" s="4">
        <f>'ведомость нач.'!D913</f>
        <v>789806.8</v>
      </c>
      <c r="H37" s="19">
        <f t="shared" si="2"/>
        <v>34533.950000000012</v>
      </c>
      <c r="I37" s="19">
        <f t="shared" si="3"/>
        <v>755272.85000000009</v>
      </c>
      <c r="J37" s="17" t="s">
        <v>178</v>
      </c>
      <c r="K37" s="4">
        <f>1785.98+6718+9965</f>
        <v>18468.98</v>
      </c>
      <c r="L37" s="17"/>
      <c r="M37" s="4"/>
      <c r="N37" s="4">
        <v>807.5</v>
      </c>
      <c r="O37" s="19">
        <f>N37*T9+34287.27</f>
        <v>131649.29815592224</v>
      </c>
      <c r="P37" s="19">
        <f>N37*T5</f>
        <v>36593.150974002172</v>
      </c>
      <c r="Q37" s="19">
        <f t="shared" si="0"/>
        <v>186711.42912992442</v>
      </c>
      <c r="R37" s="27">
        <f t="shared" si="4"/>
        <v>-707207.98912992456</v>
      </c>
      <c r="S37" s="50">
        <f t="shared" si="1"/>
        <v>82598.810870075569</v>
      </c>
    </row>
    <row r="38" spans="1:19">
      <c r="A38" s="6">
        <v>34</v>
      </c>
      <c r="B38" s="1" t="s">
        <v>11</v>
      </c>
      <c r="C38" s="1" t="s">
        <v>12</v>
      </c>
      <c r="D38" s="2">
        <v>20</v>
      </c>
      <c r="E38" s="4">
        <f>'ведомость нач.'!B919+'ведомость нач.'!B922+'ведомость нач.'!B926+'ведомость нач.'!B929+'ведомость нач.'!B931</f>
        <v>280204.14</v>
      </c>
      <c r="F38" s="4">
        <f>'ведомость нач.'!C919+'ведомость нач.'!C922+'ведомость нач.'!C926+'ведомость нач.'!C929+'ведомость нач.'!C931</f>
        <v>263176.34999999998</v>
      </c>
      <c r="G38" s="4">
        <f>'ведомость нач.'!D934</f>
        <v>192758.55</v>
      </c>
      <c r="H38" s="19">
        <f t="shared" si="2"/>
        <v>17027.790000000037</v>
      </c>
      <c r="I38" s="19">
        <f t="shared" si="3"/>
        <v>175730.75999999995</v>
      </c>
      <c r="J38" s="17" t="s">
        <v>183</v>
      </c>
      <c r="K38" s="4">
        <v>3177.14</v>
      </c>
      <c r="L38" s="17"/>
      <c r="M38" s="4"/>
      <c r="N38" s="4">
        <v>831.5</v>
      </c>
      <c r="O38" s="19">
        <f>N38*T9+15066.13</f>
        <v>115321.89026210445</v>
      </c>
      <c r="P38" s="19">
        <f>N38*T5</f>
        <v>37680.749269204709</v>
      </c>
      <c r="Q38" s="19">
        <f t="shared" si="0"/>
        <v>156179.77953130915</v>
      </c>
      <c r="R38" s="27">
        <f t="shared" si="4"/>
        <v>-68734.189531309137</v>
      </c>
      <c r="S38" s="50">
        <f t="shared" si="1"/>
        <v>124024.36046869087</v>
      </c>
    </row>
    <row r="39" spans="1:19">
      <c r="A39" s="6">
        <v>35</v>
      </c>
      <c r="B39" s="1" t="s">
        <v>11</v>
      </c>
      <c r="C39" s="1" t="s">
        <v>12</v>
      </c>
      <c r="D39" s="2">
        <v>21</v>
      </c>
      <c r="E39" s="4">
        <f>'ведомость нач.'!B938+'ведомость нач.'!B940+'ведомость нач.'!B941+'ведомость нач.'!B947+'ведомость нач.'!B948</f>
        <v>288325.44</v>
      </c>
      <c r="F39" s="4">
        <f>'ведомость нач.'!C938+'ведомость нач.'!C940+'ведомость нач.'!C941+'ведомость нач.'!C947+'ведомость нач.'!C948</f>
        <v>271733.56</v>
      </c>
      <c r="G39" s="4">
        <f>'ведомость нач.'!D955</f>
        <v>352739.23</v>
      </c>
      <c r="H39" s="19">
        <f t="shared" si="2"/>
        <v>16591.880000000005</v>
      </c>
      <c r="I39" s="19">
        <f t="shared" si="3"/>
        <v>336147.35</v>
      </c>
      <c r="J39" s="17" t="s">
        <v>183</v>
      </c>
      <c r="K39" s="4">
        <v>3177.14</v>
      </c>
      <c r="L39" s="17" t="s">
        <v>162</v>
      </c>
      <c r="M39" s="4">
        <v>709.33</v>
      </c>
      <c r="N39" s="4">
        <v>833.9</v>
      </c>
      <c r="O39" s="19">
        <f>N39*T9+20936.3</f>
        <v>121481.43347272268</v>
      </c>
      <c r="P39" s="19">
        <f>N39*T5</f>
        <v>37789.509098724964</v>
      </c>
      <c r="Q39" s="19">
        <f t="shared" si="0"/>
        <v>163157.41257144764</v>
      </c>
      <c r="R39" s="27">
        <f t="shared" si="4"/>
        <v>-227571.20257144762</v>
      </c>
      <c r="S39" s="50">
        <f t="shared" si="1"/>
        <v>125168.02742855236</v>
      </c>
    </row>
    <row r="40" spans="1:19">
      <c r="A40" s="6">
        <v>36</v>
      </c>
      <c r="B40" s="1" t="s">
        <v>11</v>
      </c>
      <c r="C40" s="1" t="s">
        <v>12</v>
      </c>
      <c r="D40" s="2">
        <v>28</v>
      </c>
      <c r="E40" s="4">
        <f>'ведомость нач.'!B969+'ведомость нач.'!B970+'ведомость нач.'!B971+'ведомость нач.'!B972+'ведомость нач.'!B973</f>
        <v>429063.54</v>
      </c>
      <c r="F40" s="4">
        <f>'ведомость нач.'!C969+'ведомость нач.'!C970+'ведомость нач.'!C971+'ведомость нач.'!C972+'ведомость нач.'!C973</f>
        <v>417794.74</v>
      </c>
      <c r="G40" s="4">
        <f>'ведомость нач.'!D976</f>
        <v>329858.67</v>
      </c>
      <c r="H40" s="19">
        <f t="shared" si="2"/>
        <v>11268.799999999988</v>
      </c>
      <c r="I40" s="19">
        <f t="shared" si="3"/>
        <v>318589.87</v>
      </c>
      <c r="J40" s="17"/>
      <c r="K40" s="4"/>
      <c r="L40" s="17"/>
      <c r="M40" s="4"/>
      <c r="N40" s="4">
        <v>1315.15</v>
      </c>
      <c r="O40" s="19">
        <f>N40*T9</f>
        <v>158570.49081023052</v>
      </c>
      <c r="P40" s="19">
        <f>N40*T5</f>
        <v>59598.120747317596</v>
      </c>
      <c r="Q40" s="19">
        <f t="shared" si="0"/>
        <v>218168.61155754811</v>
      </c>
      <c r="R40" s="27">
        <f t="shared" si="4"/>
        <v>-118963.74155754811</v>
      </c>
      <c r="S40" s="50">
        <f t="shared" si="1"/>
        <v>210894.92844245187</v>
      </c>
    </row>
    <row r="41" spans="1:19" ht="23.25">
      <c r="A41" s="6">
        <v>37</v>
      </c>
      <c r="B41" s="1" t="s">
        <v>13</v>
      </c>
      <c r="C41" s="1" t="s">
        <v>12</v>
      </c>
      <c r="D41" s="2">
        <v>4</v>
      </c>
      <c r="E41" s="4">
        <f>'ведомость нач.'!B1067+'ведомость нач.'!B1073+'ведомость нач.'!B1074+'ведомость нач.'!B1078+'ведомость нач.'!B1081</f>
        <v>237553.98</v>
      </c>
      <c r="F41" s="4">
        <f>'ведомость нач.'!C1067+'ведомость нач.'!C1073+'ведомость нач.'!C1074+'ведомость нач.'!C1078+'ведомость нач.'!C1081</f>
        <v>241021.90000000002</v>
      </c>
      <c r="G41" s="4">
        <f>'ведомость нач.'!D1082</f>
        <v>302775.59999999998</v>
      </c>
      <c r="H41" s="19">
        <f t="shared" si="2"/>
        <v>-3467.9200000000128</v>
      </c>
      <c r="I41" s="19">
        <f t="shared" si="3"/>
        <v>306243.52</v>
      </c>
      <c r="J41" s="17" t="s">
        <v>168</v>
      </c>
      <c r="K41" s="4">
        <v>5998</v>
      </c>
      <c r="L41" s="17"/>
      <c r="M41" s="4"/>
      <c r="N41" s="4">
        <v>828.4</v>
      </c>
      <c r="O41" s="19">
        <f>N41*T9+9155.22</f>
        <v>109037.20653172258</v>
      </c>
      <c r="P41" s="19">
        <f>N41*T5</f>
        <v>37540.267822741051</v>
      </c>
      <c r="Q41" s="19">
        <f t="shared" si="0"/>
        <v>152575.47435446363</v>
      </c>
      <c r="R41" s="27">
        <f t="shared" si="4"/>
        <v>-217797.09435446362</v>
      </c>
      <c r="S41" s="50">
        <f t="shared" si="1"/>
        <v>84978.505645536381</v>
      </c>
    </row>
    <row r="42" spans="1:19" ht="23.25">
      <c r="A42" s="6">
        <v>38</v>
      </c>
      <c r="B42" s="1" t="s">
        <v>13</v>
      </c>
      <c r="C42" s="1" t="s">
        <v>12</v>
      </c>
      <c r="D42" s="2">
        <v>5</v>
      </c>
      <c r="E42" s="4">
        <f>'ведомость нач.'!B1088+'ведомость нач.'!B1091+'ведомость нач.'!B1092+'ведомость нач.'!B1097+'ведомость нач.'!B1102</f>
        <v>241653.59999999998</v>
      </c>
      <c r="F42" s="4">
        <f>'ведомость нач.'!C1088+'ведомость нач.'!C1091+'ведомость нач.'!C1092+'ведомость нач.'!C1097+'ведомость нач.'!C1102</f>
        <v>230152.75</v>
      </c>
      <c r="G42" s="4">
        <f>'ведомость нач.'!D1105</f>
        <v>406087.98</v>
      </c>
      <c r="H42" s="19">
        <f t="shared" si="2"/>
        <v>11500.849999999977</v>
      </c>
      <c r="I42" s="19">
        <f t="shared" si="3"/>
        <v>394587.13</v>
      </c>
      <c r="J42" s="17" t="s">
        <v>181</v>
      </c>
      <c r="K42" s="4">
        <v>14162.94</v>
      </c>
      <c r="L42" s="17"/>
      <c r="M42" s="4"/>
      <c r="N42" s="4">
        <v>843.1</v>
      </c>
      <c r="O42" s="19">
        <f>N42*T9+15238.77</f>
        <v>116893.16744675919</v>
      </c>
      <c r="P42" s="19">
        <f>N42*T5</f>
        <v>38206.421778552605</v>
      </c>
      <c r="Q42" s="19">
        <f t="shared" si="0"/>
        <v>169262.5292253118</v>
      </c>
      <c r="R42" s="27">
        <f t="shared" si="4"/>
        <v>-333696.90922531177</v>
      </c>
      <c r="S42" s="50">
        <f t="shared" si="1"/>
        <v>72391.070774688182</v>
      </c>
    </row>
    <row r="43" spans="1:19" ht="34.5">
      <c r="A43" s="6">
        <v>39</v>
      </c>
      <c r="B43" s="1" t="s">
        <v>13</v>
      </c>
      <c r="C43" s="1" t="s">
        <v>12</v>
      </c>
      <c r="D43" s="2">
        <v>8</v>
      </c>
      <c r="E43" s="4">
        <f>'ведомость нач.'!B1108+'ведомость нач.'!B1115+'ведомость нач.'!B1117+'ведомость нач.'!B1118+'ведомость нач.'!B1123</f>
        <v>407320.68</v>
      </c>
      <c r="F43" s="4">
        <f>'ведомость нач.'!C1108+'ведомость нач.'!C1115+'ведомость нач.'!C1117+'ведомость нач.'!C1118+'ведомость нач.'!C1123</f>
        <v>369543.71</v>
      </c>
      <c r="G43" s="4">
        <f>'ведомость нач.'!D1124</f>
        <v>456194.11</v>
      </c>
      <c r="H43" s="19">
        <f t="shared" si="2"/>
        <v>37776.969999999972</v>
      </c>
      <c r="I43" s="19">
        <f t="shared" si="3"/>
        <v>418417.14</v>
      </c>
      <c r="J43" s="17" t="s">
        <v>189</v>
      </c>
      <c r="K43" s="4">
        <f>28524+1161.37</f>
        <v>29685.37</v>
      </c>
      <c r="L43" s="17" t="s">
        <v>157</v>
      </c>
      <c r="M43" s="4">
        <f>9851.82+21671.88</f>
        <v>31523.7</v>
      </c>
      <c r="N43" s="4">
        <v>1541.15</v>
      </c>
      <c r="O43" s="19">
        <f>N43*T9+36821.64</f>
        <v>222641.44147677964</v>
      </c>
      <c r="P43" s="19">
        <f>N43*T5</f>
        <v>69839.671360474866</v>
      </c>
      <c r="Q43" s="19">
        <f t="shared" si="0"/>
        <v>353690.18283725448</v>
      </c>
      <c r="R43" s="27">
        <f t="shared" si="4"/>
        <v>-402563.61283725454</v>
      </c>
      <c r="S43" s="50">
        <f t="shared" si="1"/>
        <v>53630.497162745509</v>
      </c>
    </row>
    <row r="44" spans="1:19">
      <c r="A44" s="6">
        <v>40</v>
      </c>
      <c r="B44" s="1" t="s">
        <v>13</v>
      </c>
      <c r="C44" s="1" t="s">
        <v>12</v>
      </c>
      <c r="D44" s="2">
        <v>9</v>
      </c>
      <c r="E44" s="4">
        <f>'ведомость нач.'!B1131+'ведомость нач.'!B1134+'ведомость нач.'!B1137+'ведомость нач.'!B1140</f>
        <v>318343.32</v>
      </c>
      <c r="F44" s="4">
        <f>'ведомость нач.'!C1131+'ведомость нач.'!C1134+'ведомость нач.'!C1137+'ведомость нач.'!C1140</f>
        <v>239038.48</v>
      </c>
      <c r="G44" s="4">
        <f>'ведомость нач.'!D1143</f>
        <v>273377.53999999998</v>
      </c>
      <c r="H44" s="19">
        <f t="shared" si="2"/>
        <v>79304.84</v>
      </c>
      <c r="I44" s="19">
        <f t="shared" si="3"/>
        <v>194072.69999999998</v>
      </c>
      <c r="J44" s="17" t="s">
        <v>176</v>
      </c>
      <c r="K44" s="4">
        <v>130237</v>
      </c>
      <c r="L44" s="17"/>
      <c r="M44" s="4"/>
      <c r="N44" s="4">
        <v>2048.6999999999998</v>
      </c>
      <c r="O44" s="19">
        <f>N44*T9-101470.7</f>
        <v>145545.50691397878</v>
      </c>
      <c r="P44" s="19">
        <f>N44*T5</f>
        <v>92840.10947422692</v>
      </c>
      <c r="Q44" s="19">
        <f t="shared" si="0"/>
        <v>368622.61638820567</v>
      </c>
      <c r="R44" s="27"/>
      <c r="S44" s="50">
        <f t="shared" si="1"/>
        <v>-50279.296388205665</v>
      </c>
    </row>
    <row r="45" spans="1:19">
      <c r="A45" s="6">
        <v>41</v>
      </c>
      <c r="B45" s="1" t="s">
        <v>13</v>
      </c>
      <c r="C45" s="1" t="s">
        <v>12</v>
      </c>
      <c r="D45" s="2">
        <v>12</v>
      </c>
      <c r="E45" s="4">
        <f>'ведомость нач.'!B1153+'ведомость нач.'!B1161+'ведомость нач.'!B1164+'ведомость нач.'!B1165+'ведомость нач.'!B1146</f>
        <v>161795.22</v>
      </c>
      <c r="F45" s="4">
        <f>'ведомость нач.'!C1153+'ведомость нач.'!C1161+'ведомость нач.'!C1164+'ведомость нач.'!C1165+'ведомость нач.'!C1146</f>
        <v>177384.48</v>
      </c>
      <c r="G45" s="4">
        <f>'ведомость нач.'!D1166</f>
        <v>63513.42</v>
      </c>
      <c r="H45" s="19">
        <f t="shared" si="2"/>
        <v>-15589.260000000009</v>
      </c>
      <c r="I45" s="19">
        <f t="shared" si="3"/>
        <v>79102.680000000008</v>
      </c>
      <c r="J45" s="17" t="s">
        <v>183</v>
      </c>
      <c r="K45" s="4">
        <v>3177.14</v>
      </c>
      <c r="L45" s="17" t="s">
        <v>163</v>
      </c>
      <c r="M45" s="4">
        <v>13313.94</v>
      </c>
      <c r="N45" s="4">
        <v>568.29999999999995</v>
      </c>
      <c r="O45" s="19">
        <f>N45*T9-3735.88</f>
        <v>64785.284830972894</v>
      </c>
      <c r="P45" s="19">
        <f>N45*T5</f>
        <v>25753.421298483507</v>
      </c>
      <c r="Q45" s="19">
        <f t="shared" si="0"/>
        <v>107029.78612945639</v>
      </c>
      <c r="R45" s="27">
        <f t="shared" si="4"/>
        <v>-8747.9861294563998</v>
      </c>
      <c r="S45" s="50">
        <f t="shared" si="1"/>
        <v>54765.433870543609</v>
      </c>
    </row>
    <row r="46" spans="1:19">
      <c r="A46" s="6">
        <v>42</v>
      </c>
      <c r="B46" s="1" t="s">
        <v>13</v>
      </c>
      <c r="C46" s="1" t="s">
        <v>12</v>
      </c>
      <c r="D46" s="2">
        <v>13</v>
      </c>
      <c r="E46" s="4">
        <f>'ведомость нач.'!B1173+'ведомость нач.'!B1176+'ведомость нач.'!B1177+'ведомость нач.'!B1182+'ведомость нач.'!B1185</f>
        <v>156755.94</v>
      </c>
      <c r="F46" s="4">
        <f>'ведомость нач.'!C1173+'ведомость нач.'!C1176+'ведомость нач.'!C1177+'ведомость нач.'!C1182+'ведомость нач.'!C1185</f>
        <v>140479.72999999998</v>
      </c>
      <c r="G46" s="4">
        <f>'ведомость нач.'!D1187</f>
        <v>342770.55</v>
      </c>
      <c r="H46" s="19">
        <f t="shared" si="2"/>
        <v>16276.210000000021</v>
      </c>
      <c r="I46" s="19">
        <f t="shared" si="3"/>
        <v>326494.33999999997</v>
      </c>
      <c r="J46" s="17" t="s">
        <v>183</v>
      </c>
      <c r="K46" s="4">
        <v>3177.14</v>
      </c>
      <c r="L46" s="17"/>
      <c r="M46" s="4"/>
      <c r="N46" s="4">
        <v>550.6</v>
      </c>
      <c r="O46" s="19">
        <f>N46*T9+9399.84</f>
        <v>75786.877402663507</v>
      </c>
      <c r="P46" s="19">
        <f>N46*T5</f>
        <v>24951.317555771635</v>
      </c>
      <c r="Q46" s="19">
        <f t="shared" si="0"/>
        <v>103915.33495843514</v>
      </c>
      <c r="R46" s="27">
        <f t="shared" si="4"/>
        <v>-289929.94495843514</v>
      </c>
      <c r="S46" s="50">
        <f t="shared" si="1"/>
        <v>52840.605041564864</v>
      </c>
    </row>
    <row r="47" spans="1:19" ht="23.25">
      <c r="A47" s="6">
        <v>43</v>
      </c>
      <c r="B47" s="1" t="s">
        <v>13</v>
      </c>
      <c r="C47" s="1" t="s">
        <v>12</v>
      </c>
      <c r="D47" s="2">
        <v>14</v>
      </c>
      <c r="E47" s="4">
        <f>'ведомость нач.'!B1195+'ведомость нач.'!B1196+'ведомость нач.'!B1198+'ведомость нач.'!B1204+'ведомость нач.'!B1206</f>
        <v>160456.97999999998</v>
      </c>
      <c r="F47" s="4">
        <f>'ведомость нач.'!C1195+'ведомость нач.'!C1196+'ведомость нач.'!C1198+'ведомость нач.'!C1204+'ведомость нач.'!C1206</f>
        <v>143920.24</v>
      </c>
      <c r="G47" s="4">
        <f>'ведомость нач.'!D1208</f>
        <v>722933.26</v>
      </c>
      <c r="H47" s="19">
        <f t="shared" si="2"/>
        <v>16536.739999999991</v>
      </c>
      <c r="I47" s="19">
        <f t="shared" si="3"/>
        <v>706396.52</v>
      </c>
      <c r="J47" s="17" t="s">
        <v>171</v>
      </c>
      <c r="K47" s="4">
        <f>9036+54036</f>
        <v>63072</v>
      </c>
      <c r="L47" s="17"/>
      <c r="M47" s="4"/>
      <c r="N47" s="4">
        <v>564</v>
      </c>
      <c r="O47" s="19">
        <f>N47*T9+19081.78</f>
        <v>87084.484495281911</v>
      </c>
      <c r="P47" s="19">
        <f>N47*T5</f>
        <v>25558.559937259721</v>
      </c>
      <c r="Q47" s="19">
        <f t="shared" si="0"/>
        <v>175715.04443254165</v>
      </c>
      <c r="R47" s="27">
        <f t="shared" si="4"/>
        <v>-738191.32443254173</v>
      </c>
      <c r="S47" s="50">
        <f t="shared" si="1"/>
        <v>-15258.064432541665</v>
      </c>
    </row>
    <row r="48" spans="1:19">
      <c r="A48" s="6">
        <v>44</v>
      </c>
      <c r="B48" s="1" t="s">
        <v>13</v>
      </c>
      <c r="C48" s="1" t="s">
        <v>12</v>
      </c>
      <c r="D48" s="2">
        <v>15</v>
      </c>
      <c r="E48" s="4">
        <f>'ведомость нач.'!B1210+'ведомость нач.'!B1216+'ведомость нач.'!B1220+'ведомость нач.'!B1223+'ведомость нач.'!B1226</f>
        <v>164072.76</v>
      </c>
      <c r="F48" s="4">
        <f>'ведомость нач.'!C1210+'ведомость нач.'!C1216+'ведомость нач.'!C1220+'ведомость нач.'!C1223+'ведомость нач.'!C1226</f>
        <v>144423.5</v>
      </c>
      <c r="G48" s="4">
        <f>'ведомость нач.'!D1231</f>
        <v>404449.12</v>
      </c>
      <c r="H48" s="19">
        <f t="shared" si="2"/>
        <v>19649.260000000009</v>
      </c>
      <c r="I48" s="19">
        <f t="shared" si="3"/>
        <v>384799.86</v>
      </c>
      <c r="J48" s="17" t="s">
        <v>170</v>
      </c>
      <c r="K48" s="4">
        <v>66147</v>
      </c>
      <c r="L48" s="17"/>
      <c r="M48" s="4"/>
      <c r="N48" s="4">
        <v>575.9</v>
      </c>
      <c r="O48" s="19">
        <f>N48*T9+8486.87</f>
        <v>77924.383331263918</v>
      </c>
      <c r="P48" s="19">
        <f>N48*T5</f>
        <v>26097.827425297644</v>
      </c>
      <c r="Q48" s="19">
        <f t="shared" si="0"/>
        <v>170169.21075656154</v>
      </c>
      <c r="R48" s="27">
        <f t="shared" si="4"/>
        <v>-410545.57075656153</v>
      </c>
      <c r="S48" s="50">
        <f t="shared" si="1"/>
        <v>-6096.4507565615349</v>
      </c>
    </row>
    <row r="49" spans="1:19">
      <c r="A49" s="6">
        <v>45</v>
      </c>
      <c r="B49" s="1" t="s">
        <v>13</v>
      </c>
      <c r="C49" s="1" t="s">
        <v>12</v>
      </c>
      <c r="D49" s="2">
        <v>16</v>
      </c>
      <c r="E49" s="4">
        <f>'ведомость нач.'!B1238+'ведомость нач.'!B1242+'ведомость нач.'!B1243+'ведомость нач.'!B1244+'ведомость нач.'!B1247</f>
        <v>165951.84</v>
      </c>
      <c r="F49" s="4">
        <f>'ведомость нач.'!C1238+'ведомость нач.'!C1242+'ведомость нач.'!C1243+'ведомость нач.'!C1244+'ведомость нач.'!C1247</f>
        <v>147623.95000000001</v>
      </c>
      <c r="G49" s="4">
        <f>'ведомость нач.'!D1252</f>
        <v>225195.85</v>
      </c>
      <c r="H49" s="19">
        <f t="shared" si="2"/>
        <v>18327.889999999985</v>
      </c>
      <c r="I49" s="19">
        <f t="shared" si="3"/>
        <v>206867.96000000002</v>
      </c>
      <c r="J49" s="17" t="s">
        <v>183</v>
      </c>
      <c r="K49" s="4">
        <v>3177.14</v>
      </c>
      <c r="L49" s="17"/>
      <c r="M49" s="4"/>
      <c r="N49" s="4">
        <v>582.29999999999995</v>
      </c>
      <c r="O49" s="19">
        <f>N49*T9+6452.46</f>
        <v>76661.635226245853</v>
      </c>
      <c r="P49" s="19">
        <f>N49*T5</f>
        <v>26387.853637351654</v>
      </c>
      <c r="Q49" s="19">
        <f t="shared" si="0"/>
        <v>106226.62886359751</v>
      </c>
      <c r="R49" s="27">
        <f t="shared" si="4"/>
        <v>-165470.63886359753</v>
      </c>
      <c r="S49" s="50">
        <f t="shared" si="1"/>
        <v>59725.21113640249</v>
      </c>
    </row>
    <row r="50" spans="1:19" ht="23.25">
      <c r="A50" s="6">
        <v>46</v>
      </c>
      <c r="B50" s="1" t="s">
        <v>13</v>
      </c>
      <c r="C50" s="1" t="s">
        <v>12</v>
      </c>
      <c r="D50" s="2">
        <v>17</v>
      </c>
      <c r="E50" s="4">
        <f>'ведомость нач.'!B1258+'ведомость нач.'!B1259+'ведомость нач.'!B1266+'ведомость нач.'!B1270+'ведомость нач.'!B1272</f>
        <v>162848.69999999998</v>
      </c>
      <c r="F50" s="4">
        <f>'ведомость нач.'!C1258+'ведомость нач.'!C1259+'ведомость нач.'!C1266+'ведомость нач.'!C1270+'ведомость нач.'!C1272</f>
        <v>154592.77000000002</v>
      </c>
      <c r="G50" s="4">
        <f>'ведомость нач.'!D1273</f>
        <v>729788.56</v>
      </c>
      <c r="H50" s="19">
        <f t="shared" si="2"/>
        <v>8255.9299999999639</v>
      </c>
      <c r="I50" s="19">
        <f t="shared" si="3"/>
        <v>721532.63000000012</v>
      </c>
      <c r="J50" s="17" t="s">
        <v>175</v>
      </c>
      <c r="K50" s="4">
        <f>31440+510</f>
        <v>31950</v>
      </c>
      <c r="L50" s="17"/>
      <c r="M50" s="4"/>
      <c r="N50" s="4">
        <v>571.4</v>
      </c>
      <c r="O50" s="19">
        <f>N50*T9+8590.89</f>
        <v>77485.828561354763</v>
      </c>
      <c r="P50" s="19">
        <f>N50*T5</f>
        <v>25893.902744947169</v>
      </c>
      <c r="Q50" s="19">
        <f t="shared" si="0"/>
        <v>135329.73130630192</v>
      </c>
      <c r="R50" s="27">
        <f t="shared" si="4"/>
        <v>-702269.591306302</v>
      </c>
      <c r="S50" s="50">
        <f t="shared" si="1"/>
        <v>27518.968693698058</v>
      </c>
    </row>
    <row r="51" spans="1:19">
      <c r="A51" s="6">
        <v>47</v>
      </c>
      <c r="B51" s="1" t="s">
        <v>13</v>
      </c>
      <c r="C51" s="1" t="s">
        <v>12</v>
      </c>
      <c r="D51" s="2">
        <v>18</v>
      </c>
      <c r="E51" s="4">
        <f>'ведомость нач.'!B1275+'ведомость нач.'!B1276+'ведомость нач.'!B1281+'ведомость нач.'!B1285+'ведомость нач.'!B1286</f>
        <v>163247.15999999997</v>
      </c>
      <c r="F51" s="4">
        <f>'ведомость нач.'!C1275+'ведомость нач.'!C1276+'ведомость нач.'!C1281+'ведомость нач.'!C1285+'ведомость нач.'!C1286</f>
        <v>141928.22999999998</v>
      </c>
      <c r="G51" s="4">
        <f>'ведомость нач.'!D1294</f>
        <v>607326.28</v>
      </c>
      <c r="H51" s="19">
        <f t="shared" si="2"/>
        <v>21318.929999999993</v>
      </c>
      <c r="I51" s="19">
        <f t="shared" si="3"/>
        <v>586007.35000000009</v>
      </c>
      <c r="J51" s="17" t="s">
        <v>166</v>
      </c>
      <c r="K51" s="4">
        <f>38991</f>
        <v>38991</v>
      </c>
      <c r="L51" s="17"/>
      <c r="M51" s="4"/>
      <c r="N51" s="4">
        <v>572.9</v>
      </c>
      <c r="O51" s="19">
        <f>N51*T9+19537.64</f>
        <v>88613.43681799114</v>
      </c>
      <c r="P51" s="19">
        <f>N51*T5</f>
        <v>25961.877638397327</v>
      </c>
      <c r="Q51" s="19">
        <f t="shared" si="0"/>
        <v>153566.31445638847</v>
      </c>
      <c r="R51" s="27">
        <f t="shared" si="4"/>
        <v>-597645.43445638847</v>
      </c>
      <c r="S51" s="50">
        <f t="shared" si="1"/>
        <v>9680.8455436115037</v>
      </c>
    </row>
    <row r="52" spans="1:19">
      <c r="A52" s="6">
        <v>48</v>
      </c>
      <c r="B52" s="1" t="s">
        <v>13</v>
      </c>
      <c r="C52" s="1" t="s">
        <v>12</v>
      </c>
      <c r="D52" s="2">
        <v>19</v>
      </c>
      <c r="E52" s="4">
        <f>'ведомость нач.'!B1299+'ведомость нач.'!B1300+'ведомость нач.'!B1307+'ведомость нач.'!B1308+'ведомость нач.'!B1316</f>
        <v>250308.54</v>
      </c>
      <c r="F52" s="4">
        <f>'ведомость нач.'!C1299+'ведомость нач.'!C1300+'ведомость нач.'!C1307+'ведомость нач.'!C1308+'ведомость нач.'!C1316</f>
        <v>224724.16999999998</v>
      </c>
      <c r="G52" s="4">
        <f>'ведомость нач.'!D1317</f>
        <v>779452.64</v>
      </c>
      <c r="H52" s="19">
        <f t="shared" si="2"/>
        <v>25584.370000000024</v>
      </c>
      <c r="I52" s="19">
        <f t="shared" si="3"/>
        <v>753868.27</v>
      </c>
      <c r="J52" s="17" t="s">
        <v>183</v>
      </c>
      <c r="K52" s="4">
        <v>3177.14</v>
      </c>
      <c r="L52" s="17"/>
      <c r="M52" s="4"/>
      <c r="N52" s="4">
        <v>824.5</v>
      </c>
      <c r="O52" s="19">
        <f>N52*T9</f>
        <v>99411.755064467972</v>
      </c>
      <c r="P52" s="19">
        <f>N52*T5</f>
        <v>37363.533099770641</v>
      </c>
      <c r="Q52" s="19">
        <f t="shared" si="0"/>
        <v>139952.4281642386</v>
      </c>
      <c r="R52" s="27">
        <f t="shared" si="4"/>
        <v>-669096.52816423879</v>
      </c>
      <c r="S52" s="50">
        <f t="shared" si="1"/>
        <v>110356.1118357614</v>
      </c>
    </row>
    <row r="53" spans="1:19">
      <c r="A53" s="6">
        <v>49</v>
      </c>
      <c r="B53" s="1" t="s">
        <v>13</v>
      </c>
      <c r="C53" s="1" t="s">
        <v>12</v>
      </c>
      <c r="D53" s="2">
        <v>20</v>
      </c>
      <c r="E53" s="4">
        <f>'ведомость нач.'!B1320+'ведомость нач.'!B1321+'ведомость нач.'!B1322+'ведомость нач.'!B1323+'ведомость нач.'!B1328</f>
        <v>235617.96000000002</v>
      </c>
      <c r="F53" s="4">
        <f>'ведомость нач.'!C1320+'ведомость нач.'!C1321+'ведомость нач.'!C1322+'ведомость нач.'!C1323+'ведомость нач.'!C1328</f>
        <v>210361.65000000002</v>
      </c>
      <c r="G53" s="4">
        <f>'ведомость нач.'!D1336</f>
        <v>746311.72</v>
      </c>
      <c r="H53" s="19">
        <f t="shared" si="2"/>
        <v>25256.309999999998</v>
      </c>
      <c r="I53" s="19">
        <f t="shared" si="3"/>
        <v>721055.40999999992</v>
      </c>
      <c r="J53" s="17" t="s">
        <v>183</v>
      </c>
      <c r="K53" s="4">
        <v>3177.14</v>
      </c>
      <c r="L53" s="17" t="s">
        <v>157</v>
      </c>
      <c r="M53" s="4">
        <f>4844.2+20285.38</f>
        <v>25129.58</v>
      </c>
      <c r="N53" s="4">
        <v>827.8</v>
      </c>
      <c r="O53" s="19">
        <f>N53*T9+16782.46</f>
        <v>116592.10322906802</v>
      </c>
      <c r="P53" s="19">
        <f>N53*T5</f>
        <v>37513.077865360981</v>
      </c>
      <c r="Q53" s="19">
        <f t="shared" si="0"/>
        <v>182411.90109442899</v>
      </c>
      <c r="R53" s="27">
        <f t="shared" si="4"/>
        <v>-693105.66109442885</v>
      </c>
      <c r="S53" s="50">
        <f t="shared" si="1"/>
        <v>53206.05890557103</v>
      </c>
    </row>
    <row r="54" spans="1:19">
      <c r="A54" s="6">
        <v>50</v>
      </c>
      <c r="B54" s="1" t="s">
        <v>13</v>
      </c>
      <c r="C54" s="1" t="s">
        <v>12</v>
      </c>
      <c r="D54" s="2">
        <v>21</v>
      </c>
      <c r="E54" s="4">
        <f>'ведомость нач.'!B1339+'ведомость нач.'!B1341+'ведомость нач.'!B1346+'ведомость нач.'!B1353+'ведомость нач.'!B1354</f>
        <v>236728.32000000001</v>
      </c>
      <c r="F54" s="4">
        <f>'ведомость нач.'!C1339+'ведомость нач.'!C1341+'ведомость нач.'!C1346+'ведомость нач.'!C1353+'ведомость нач.'!C1354</f>
        <v>222438.44999999998</v>
      </c>
      <c r="G54" s="4">
        <f>'ведомость нач.'!D1357</f>
        <v>462390.23</v>
      </c>
      <c r="H54" s="19">
        <f t="shared" si="2"/>
        <v>14289.870000000024</v>
      </c>
      <c r="I54" s="19">
        <f t="shared" si="3"/>
        <v>448100.36</v>
      </c>
      <c r="J54" s="17" t="s">
        <v>183</v>
      </c>
      <c r="K54" s="4">
        <v>3177.14</v>
      </c>
      <c r="L54" s="17"/>
      <c r="M54" s="4"/>
      <c r="N54" s="4">
        <v>832.1</v>
      </c>
      <c r="O54" s="19">
        <v>9493.98</v>
      </c>
      <c r="P54" s="19">
        <f>N54*T5</f>
        <v>37707.939226584778</v>
      </c>
      <c r="Q54" s="19">
        <f t="shared" si="0"/>
        <v>50379.059226584781</v>
      </c>
      <c r="R54" s="27">
        <f t="shared" si="4"/>
        <v>-276040.96922658483</v>
      </c>
      <c r="S54" s="50">
        <f t="shared" si="1"/>
        <v>186349.26077341521</v>
      </c>
    </row>
    <row r="55" spans="1:19">
      <c r="A55" s="6">
        <v>51</v>
      </c>
      <c r="B55" s="7" t="s">
        <v>14</v>
      </c>
      <c r="C55" s="7"/>
      <c r="D55" s="8" t="s">
        <v>15</v>
      </c>
      <c r="E55" s="4">
        <f>'ведомость нач.'!B979+'ведомость нач.'!B983+'ведомость нач.'!B985+'ведомость нач.'!B992+'ведомость нач.'!B994</f>
        <v>209364.56</v>
      </c>
      <c r="F55" s="4">
        <f>'ведомость нач.'!C979+'ведомость нач.'!C983+'ведомость нач.'!C985+'ведомость нач.'!C992+'ведомость нач.'!C994</f>
        <v>187426.13</v>
      </c>
      <c r="G55" s="4">
        <f>'ведомость нач.'!D998</f>
        <v>731619.96</v>
      </c>
      <c r="H55" s="19">
        <f t="shared" si="2"/>
        <v>21938.429999999993</v>
      </c>
      <c r="I55" s="19">
        <f t="shared" si="3"/>
        <v>709681.53</v>
      </c>
      <c r="J55" s="17"/>
      <c r="K55" s="4"/>
      <c r="L55" s="31"/>
      <c r="M55" s="4"/>
      <c r="N55" s="4">
        <v>810.73</v>
      </c>
      <c r="O55" s="19">
        <f>N55*T9+12561.78</f>
        <v>110313.25626854594</v>
      </c>
      <c r="P55" s="19">
        <f>N55*T5</f>
        <v>36739.523577898181</v>
      </c>
      <c r="Q55" s="19">
        <f t="shared" si="0"/>
        <v>147052.77984644411</v>
      </c>
      <c r="R55" s="27">
        <f t="shared" si="4"/>
        <v>-669308.17984644417</v>
      </c>
      <c r="S55" s="50">
        <f t="shared" si="1"/>
        <v>62311.780153555883</v>
      </c>
    </row>
    <row r="56" spans="1:19">
      <c r="A56" s="6">
        <v>52</v>
      </c>
      <c r="B56" s="1" t="s">
        <v>14</v>
      </c>
      <c r="C56" s="1"/>
      <c r="D56" s="2" t="s">
        <v>16</v>
      </c>
      <c r="E56" s="4">
        <f>'ведомость нач.'!B1000+'ведомость нач.'!B1002+'ведомость нач.'!B1005+'ведомость нач.'!B1009+'ведомость нач.'!B1010</f>
        <v>208058.88</v>
      </c>
      <c r="F56" s="4">
        <f>'ведомость нач.'!C1000+'ведомость нач.'!C1002+'ведомость нач.'!C1005+'ведомость нач.'!C1009+'ведомость нач.'!C1010</f>
        <v>209612.85000000003</v>
      </c>
      <c r="G56" s="4">
        <f>'ведомость нач.'!D1016</f>
        <v>557970.80000000005</v>
      </c>
      <c r="H56" s="19">
        <f t="shared" si="2"/>
        <v>-1553.9700000000303</v>
      </c>
      <c r="I56" s="19">
        <f t="shared" si="3"/>
        <v>559524.77</v>
      </c>
      <c r="J56" s="17"/>
      <c r="K56" s="4"/>
      <c r="L56" s="17" t="s">
        <v>161</v>
      </c>
      <c r="M56" s="4">
        <v>2800</v>
      </c>
      <c r="N56" s="4">
        <v>811.6</v>
      </c>
      <c r="O56" s="19">
        <f>N56*T9+12561.78</f>
        <v>110418.15405739503</v>
      </c>
      <c r="P56" s="19">
        <f>N56*T5</f>
        <v>36778.949016099272</v>
      </c>
      <c r="Q56" s="19">
        <f t="shared" si="0"/>
        <v>149997.10307349431</v>
      </c>
      <c r="R56" s="27">
        <f t="shared" si="4"/>
        <v>-499909.02307349426</v>
      </c>
      <c r="S56" s="50">
        <f t="shared" si="1"/>
        <v>58061.7769265057</v>
      </c>
    </row>
    <row r="57" spans="1:19" ht="23.25">
      <c r="A57" s="6">
        <v>53</v>
      </c>
      <c r="B57" s="1" t="s">
        <v>14</v>
      </c>
      <c r="C57" s="1"/>
      <c r="D57" s="2" t="s">
        <v>17</v>
      </c>
      <c r="E57" s="4">
        <f>'ведомость нач.'!B1018+'ведомость нач.'!B1020+'ведомость нач.'!B1021+'ведомость нач.'!B1030+'ведомость нач.'!B1034</f>
        <v>165439.26</v>
      </c>
      <c r="F57" s="4">
        <f>'ведомость нач.'!C1018+'ведомость нач.'!C1020+'ведомость нач.'!C1021+'ведомость нач.'!C1030+'ведомость нач.'!C1034</f>
        <v>159448.84000000003</v>
      </c>
      <c r="G57" s="4">
        <f>'ведомость нач.'!D1037</f>
        <v>638003.54</v>
      </c>
      <c r="H57" s="19">
        <f t="shared" si="2"/>
        <v>5990.4199999999837</v>
      </c>
      <c r="I57" s="19">
        <f t="shared" si="3"/>
        <v>632013.12000000011</v>
      </c>
      <c r="J57" s="17" t="s">
        <v>181</v>
      </c>
      <c r="K57" s="4">
        <v>14162.94</v>
      </c>
      <c r="L57" s="17"/>
      <c r="M57" s="4"/>
      <c r="N57" s="4">
        <v>673.5</v>
      </c>
      <c r="O57" s="19">
        <f>N57*T9+7819.69</f>
        <v>89025.047229738251</v>
      </c>
      <c r="P57" s="19">
        <f>N57*T5</f>
        <v>30520.727159121314</v>
      </c>
      <c r="Q57" s="19">
        <f t="shared" si="0"/>
        <v>133708.71438885957</v>
      </c>
      <c r="R57" s="27">
        <f t="shared" si="4"/>
        <v>-606272.9943888596</v>
      </c>
      <c r="S57" s="50">
        <f t="shared" si="1"/>
        <v>31730.545611140435</v>
      </c>
    </row>
    <row r="58" spans="1:19">
      <c r="A58" s="6">
        <v>54</v>
      </c>
      <c r="B58" s="1" t="s">
        <v>14</v>
      </c>
      <c r="C58" s="1"/>
      <c r="D58" s="2" t="s">
        <v>18</v>
      </c>
      <c r="E58" s="4">
        <f>'ведомость нач.'!B1042+'ведомость нач.'!B1044+'ведомость нач.'!B1047+'ведомость нач.'!B1057+'ведомость нач.'!B1060</f>
        <v>165154.62</v>
      </c>
      <c r="F58" s="4">
        <f>'ведомость нач.'!C1042+'ведомость нач.'!C1044+'ведомость нач.'!C1047+'ведомость нач.'!C1057+'ведомость нач.'!C1060</f>
        <v>159926.07</v>
      </c>
      <c r="G58" s="4">
        <f>'ведомость нач.'!D1061</f>
        <v>100035.04</v>
      </c>
      <c r="H58" s="19">
        <f t="shared" si="2"/>
        <v>5228.5499999999884</v>
      </c>
      <c r="I58" s="19">
        <f t="shared" si="3"/>
        <v>94806.49</v>
      </c>
      <c r="J58" s="17" t="s">
        <v>188</v>
      </c>
      <c r="K58" s="4">
        <v>4014.61</v>
      </c>
      <c r="L58" s="17"/>
      <c r="M58" s="4"/>
      <c r="N58" s="4">
        <v>675.1</v>
      </c>
      <c r="O58" s="19">
        <f>N58*T9+5396.26</f>
        <v>86794.532703483725</v>
      </c>
      <c r="P58" s="19">
        <f>N58*T5</f>
        <v>30593.233712134817</v>
      </c>
      <c r="Q58" s="19">
        <f t="shared" si="0"/>
        <v>121402.37641561855</v>
      </c>
      <c r="R58" s="27">
        <f t="shared" si="4"/>
        <v>-56282.796415618541</v>
      </c>
      <c r="S58" s="50">
        <f t="shared" si="1"/>
        <v>43752.243584381446</v>
      </c>
    </row>
    <row r="59" spans="1:19">
      <c r="A59" s="74" t="s">
        <v>19</v>
      </c>
      <c r="B59" s="74"/>
      <c r="C59" s="74"/>
      <c r="D59" s="74"/>
      <c r="E59" s="4"/>
      <c r="F59" s="4"/>
      <c r="G59" s="4"/>
      <c r="H59" s="18"/>
      <c r="I59" s="19"/>
      <c r="J59" s="17"/>
      <c r="K59" s="4"/>
      <c r="L59" s="17"/>
      <c r="M59" s="4"/>
      <c r="N59" s="4"/>
      <c r="O59" s="19"/>
      <c r="P59" s="19"/>
      <c r="Q59" s="19"/>
      <c r="R59" s="27"/>
      <c r="S59" s="50"/>
    </row>
    <row r="60" spans="1:19">
      <c r="A60" s="9">
        <v>55</v>
      </c>
      <c r="B60" s="10" t="s">
        <v>20</v>
      </c>
      <c r="C60" s="10" t="s">
        <v>5</v>
      </c>
      <c r="D60" s="11">
        <v>2</v>
      </c>
      <c r="E60" s="29">
        <f>'ведомость нач.'!B29+'ведомость нач.'!B30+'ведомость нач.'!B32</f>
        <v>33848.460000000006</v>
      </c>
      <c r="F60" s="29">
        <f>'ведомость нач.'!C29+'ведомость нач.'!C30+'ведомость нач.'!C32</f>
        <v>39937.279999999999</v>
      </c>
      <c r="G60" s="29">
        <f>'ведомость нач.'!D36</f>
        <v>14848.55</v>
      </c>
      <c r="H60" s="19">
        <f t="shared" ref="H60:H70" si="5">E60-F60</f>
        <v>-6088.8199999999924</v>
      </c>
      <c r="I60" s="19">
        <f t="shared" ref="I60:I70" si="6">G60-H60</f>
        <v>20937.369999999992</v>
      </c>
      <c r="J60" s="30"/>
      <c r="K60" s="29"/>
      <c r="L60" s="17"/>
      <c r="M60" s="29"/>
      <c r="N60" s="29">
        <v>115.2</v>
      </c>
      <c r="O60" s="19">
        <f>N60*T9</f>
        <v>13889.914109674604</v>
      </c>
      <c r="P60" s="19">
        <f>N60*T5</f>
        <v>5220.4718169721982</v>
      </c>
      <c r="Q60" s="19">
        <f t="shared" si="0"/>
        <v>19110.385926646803</v>
      </c>
      <c r="R60" s="27">
        <f t="shared" ref="R60" si="7">E60-H60-I60-K60-M60-O60-P60</f>
        <v>-110.47592664679541</v>
      </c>
      <c r="S60" s="50">
        <f t="shared" si="1"/>
        <v>14738.074073353204</v>
      </c>
    </row>
    <row r="61" spans="1:19">
      <c r="A61" s="9">
        <v>56</v>
      </c>
      <c r="B61" s="1" t="s">
        <v>4</v>
      </c>
      <c r="C61" s="1" t="s">
        <v>6</v>
      </c>
      <c r="D61" s="2">
        <v>6</v>
      </c>
      <c r="E61" s="4">
        <f>'ведомость нач.'!B243+'ведомость нач.'!B248+'ведомость нач.'!B250+'ведомость нач.'!B251</f>
        <v>57529.619999999995</v>
      </c>
      <c r="F61" s="4">
        <f>'ведомость нач.'!C243+'ведомость нач.'!C248+'ведомость нач.'!C250+'ведомость нач.'!C251</f>
        <v>50454.29</v>
      </c>
      <c r="G61" s="4">
        <f>'ведомость нач.'!D256</f>
        <v>191125.58</v>
      </c>
      <c r="H61" s="19">
        <f t="shared" si="5"/>
        <v>7075.3299999999945</v>
      </c>
      <c r="I61" s="19">
        <f t="shared" si="6"/>
        <v>184050.25</v>
      </c>
      <c r="J61" s="17"/>
      <c r="K61" s="4"/>
      <c r="L61" s="17"/>
      <c r="M61" s="4"/>
      <c r="N61" s="4">
        <v>242.5</v>
      </c>
      <c r="O61" s="19">
        <f>N61*T9</f>
        <v>29238.751489549406</v>
      </c>
      <c r="P61" s="19">
        <f>N61*T5</f>
        <v>10989.274441109012</v>
      </c>
      <c r="Q61" s="19">
        <f t="shared" si="0"/>
        <v>40228.025930658419</v>
      </c>
      <c r="R61" s="27">
        <f t="shared" si="4"/>
        <v>-173823.98593065841</v>
      </c>
      <c r="S61" s="50">
        <f t="shared" si="1"/>
        <v>17301.594069341576</v>
      </c>
    </row>
    <row r="62" spans="1:19">
      <c r="A62" s="9">
        <v>57</v>
      </c>
      <c r="B62" s="1" t="s">
        <v>4</v>
      </c>
      <c r="C62" s="1" t="s">
        <v>6</v>
      </c>
      <c r="D62" s="2" t="s">
        <v>21</v>
      </c>
      <c r="E62" s="4">
        <f>'ведомость нач.'!B275+'ведомость нач.'!B276+'ведомость нач.'!B281</f>
        <v>21272.760000000002</v>
      </c>
      <c r="F62" s="4">
        <f>'ведомость нач.'!C275+'ведомость нач.'!C276+'ведомость нач.'!C281</f>
        <v>21955.03</v>
      </c>
      <c r="G62" s="4">
        <f>'ведомость нач.'!D286</f>
        <v>28138.51</v>
      </c>
      <c r="H62" s="19">
        <f t="shared" si="5"/>
        <v>-682.2699999999968</v>
      </c>
      <c r="I62" s="19">
        <f t="shared" si="6"/>
        <v>28820.779999999995</v>
      </c>
      <c r="J62" s="17"/>
      <c r="K62" s="4"/>
      <c r="L62" s="17"/>
      <c r="M62" s="4"/>
      <c r="N62" s="4">
        <v>211.1</v>
      </c>
      <c r="O62" s="19">
        <f>N62*T9</f>
        <v>25452.785317294347</v>
      </c>
      <c r="P62" s="19">
        <f>N62*T5</f>
        <v>9566.3333382190194</v>
      </c>
      <c r="Q62" s="19">
        <f t="shared" si="0"/>
        <v>35019.118655513368</v>
      </c>
      <c r="R62" s="27">
        <f t="shared" si="4"/>
        <v>-41884.868655513361</v>
      </c>
      <c r="S62" s="50">
        <f t="shared" si="1"/>
        <v>-13746.358655513366</v>
      </c>
    </row>
    <row r="63" spans="1:19">
      <c r="A63" s="9">
        <v>58</v>
      </c>
      <c r="B63" s="1" t="s">
        <v>4</v>
      </c>
      <c r="C63" s="1" t="s">
        <v>6</v>
      </c>
      <c r="D63" s="2" t="s">
        <v>22</v>
      </c>
      <c r="E63" s="4">
        <f>'ведомость нач.'!B290+'ведомость нач.'!B292+'ведомость нач.'!B293+'ведомость нач.'!B296</f>
        <v>88785.66</v>
      </c>
      <c r="F63" s="4">
        <f>'ведомость нач.'!C290+'ведомость нач.'!C292+'ведомость нач.'!C293+'ведомость нач.'!C296</f>
        <v>92479.18</v>
      </c>
      <c r="G63" s="4">
        <f>'ведомость нач.'!D301</f>
        <v>23214.44</v>
      </c>
      <c r="H63" s="19">
        <f t="shared" si="5"/>
        <v>-3693.5199999999895</v>
      </c>
      <c r="I63" s="19">
        <f t="shared" si="6"/>
        <v>26907.959999999988</v>
      </c>
      <c r="J63" s="17"/>
      <c r="K63" s="4"/>
      <c r="L63" s="17"/>
      <c r="M63" s="4"/>
      <c r="N63" s="4">
        <v>489.2</v>
      </c>
      <c r="O63" s="19">
        <f>N63*T9</f>
        <v>58983.906097680694</v>
      </c>
      <c r="P63" s="19">
        <f>N63*T5</f>
        <v>22168.878583878468</v>
      </c>
      <c r="Q63" s="19">
        <f t="shared" si="0"/>
        <v>81152.784681559162</v>
      </c>
      <c r="R63" s="27">
        <f t="shared" si="4"/>
        <v>-15581.564681559161</v>
      </c>
      <c r="S63" s="50">
        <f t="shared" si="1"/>
        <v>7632.8753184408415</v>
      </c>
    </row>
    <row r="64" spans="1:19">
      <c r="A64" s="9">
        <v>59</v>
      </c>
      <c r="B64" s="1" t="s">
        <v>4</v>
      </c>
      <c r="C64" s="3" t="s">
        <v>8</v>
      </c>
      <c r="D64" s="2" t="s">
        <v>9</v>
      </c>
      <c r="E64" s="4">
        <f>'ведомость нач.'!B318+'ведомость нач.'!B320+'ведомость нач.'!B322+'ведомость нач.'!B325</f>
        <v>44148.18</v>
      </c>
      <c r="F64" s="4">
        <f>'ведомость нач.'!C318+'ведомость нач.'!C320+'ведомость нач.'!C322+'ведомость нач.'!C325</f>
        <v>36584.11</v>
      </c>
      <c r="G64" s="4">
        <f>'ведомость нач.'!D332</f>
        <v>198995.67</v>
      </c>
      <c r="H64" s="19">
        <f t="shared" si="5"/>
        <v>7564.07</v>
      </c>
      <c r="I64" s="19">
        <f t="shared" si="6"/>
        <v>191431.6</v>
      </c>
      <c r="J64" s="17" t="s">
        <v>169</v>
      </c>
      <c r="K64" s="4">
        <v>2831</v>
      </c>
      <c r="L64" s="17"/>
      <c r="M64" s="4"/>
      <c r="N64" s="47">
        <v>612.9</v>
      </c>
      <c r="O64" s="19">
        <f>N64*T9+6257.87+79731.17</f>
        <v>159887.72366162814</v>
      </c>
      <c r="P64" s="19">
        <f>N64*T5</f>
        <v>27774.541463734899</v>
      </c>
      <c r="Q64" s="19">
        <f t="shared" si="0"/>
        <v>190493.26512536305</v>
      </c>
      <c r="R64" s="27"/>
      <c r="S64" s="50">
        <f t="shared" si="1"/>
        <v>-146345.08512536305</v>
      </c>
    </row>
    <row r="65" spans="1:19">
      <c r="A65" s="9">
        <v>60</v>
      </c>
      <c r="B65" s="1" t="s">
        <v>4</v>
      </c>
      <c r="C65" s="1" t="s">
        <v>8</v>
      </c>
      <c r="D65" s="2">
        <v>20</v>
      </c>
      <c r="E65" s="4">
        <f>'ведомость нач.'!B374+'ведомость нач.'!B377+'ведомость нач.'!B379</f>
        <v>21483.06</v>
      </c>
      <c r="F65" s="4">
        <f>'ведомость нач.'!C374+'ведомость нач.'!C377+'ведомость нач.'!C379</f>
        <v>21737.25</v>
      </c>
      <c r="G65" s="4">
        <f>'ведомость нач.'!D380</f>
        <v>8142.12</v>
      </c>
      <c r="H65" s="19">
        <f t="shared" si="5"/>
        <v>-254.18999999999869</v>
      </c>
      <c r="I65" s="19">
        <f t="shared" si="6"/>
        <v>8396.3099999999977</v>
      </c>
      <c r="J65" s="17"/>
      <c r="K65" s="4"/>
      <c r="L65" s="17"/>
      <c r="M65" s="4"/>
      <c r="N65" s="4">
        <v>164.8</v>
      </c>
      <c r="O65" s="19">
        <f>N65*T9</f>
        <v>19870.293795784502</v>
      </c>
      <c r="P65" s="19">
        <f>N65*T5</f>
        <v>7468.1749603907838</v>
      </c>
      <c r="Q65" s="19">
        <f t="shared" si="0"/>
        <v>27338.468756175287</v>
      </c>
      <c r="R65" s="27">
        <f t="shared" si="4"/>
        <v>-13997.528756175285</v>
      </c>
      <c r="S65" s="50">
        <f t="shared" si="1"/>
        <v>-5855.4087561752858</v>
      </c>
    </row>
    <row r="66" spans="1:19">
      <c r="A66" s="9">
        <v>61</v>
      </c>
      <c r="B66" s="1" t="s">
        <v>4</v>
      </c>
      <c r="C66" s="1" t="s">
        <v>8</v>
      </c>
      <c r="D66" s="2">
        <v>23</v>
      </c>
      <c r="E66" s="4">
        <f>'ведомость нач.'!B392+'ведомость нач.'!B395+'ведомость нач.'!B400</f>
        <v>26688.36</v>
      </c>
      <c r="F66" s="4">
        <f>'ведомость нач.'!C392+'ведомость нач.'!C395+'ведомость нач.'!C400</f>
        <v>29649.840000000004</v>
      </c>
      <c r="G66" s="4">
        <f>'ведомость нач.'!D406</f>
        <v>5874.34</v>
      </c>
      <c r="H66" s="19">
        <f t="shared" si="5"/>
        <v>-2961.4800000000032</v>
      </c>
      <c r="I66" s="19">
        <f t="shared" si="6"/>
        <v>8835.8200000000033</v>
      </c>
      <c r="J66" s="17"/>
      <c r="K66" s="4"/>
      <c r="L66" s="17"/>
      <c r="M66" s="4"/>
      <c r="N66" s="4">
        <v>226.9</v>
      </c>
      <c r="O66" s="19">
        <f>N66*T9</f>
        <v>27357.82562053097</v>
      </c>
      <c r="P66" s="19">
        <f>N66*T5</f>
        <v>10282.335549227359</v>
      </c>
      <c r="Q66" s="19">
        <f t="shared" si="0"/>
        <v>37640.161169758328</v>
      </c>
      <c r="R66" s="27">
        <f t="shared" si="4"/>
        <v>-16826.141169758328</v>
      </c>
      <c r="S66" s="50">
        <f t="shared" si="1"/>
        <v>-10951.801169758328</v>
      </c>
    </row>
    <row r="67" spans="1:19">
      <c r="A67" s="9">
        <v>62</v>
      </c>
      <c r="B67" s="1" t="s">
        <v>4</v>
      </c>
      <c r="C67" s="1" t="s">
        <v>8</v>
      </c>
      <c r="D67" s="2">
        <v>25</v>
      </c>
      <c r="E67" s="4">
        <f>'ведомость нач.'!B410+'ведомость нач.'!B412+'ведомость нач.'!B419</f>
        <v>28750.32</v>
      </c>
      <c r="F67" s="4">
        <f>'ведомость нач.'!C410+'ведомость нач.'!C412+'ведомость нач.'!C419</f>
        <v>18135.8</v>
      </c>
      <c r="G67" s="4">
        <f>'ведомость нач.'!D420</f>
        <v>284672.92</v>
      </c>
      <c r="H67" s="19">
        <f t="shared" si="5"/>
        <v>10614.52</v>
      </c>
      <c r="I67" s="19">
        <f t="shared" si="6"/>
        <v>274058.39999999997</v>
      </c>
      <c r="J67" s="17"/>
      <c r="K67" s="4"/>
      <c r="L67" s="17"/>
      <c r="M67" s="4"/>
      <c r="N67" s="4">
        <v>238.2</v>
      </c>
      <c r="O67" s="19">
        <f>N67*T9</f>
        <v>28720.291153858423</v>
      </c>
      <c r="P67" s="19">
        <f>N67*T5</f>
        <v>10794.413079885222</v>
      </c>
      <c r="Q67" s="19">
        <f t="shared" si="0"/>
        <v>39514.704233743643</v>
      </c>
      <c r="R67" s="27">
        <f t="shared" si="4"/>
        <v>-295437.30423374363</v>
      </c>
      <c r="S67" s="50">
        <f t="shared" si="1"/>
        <v>-10764.384233743644</v>
      </c>
    </row>
    <row r="68" spans="1:19">
      <c r="A68" s="9">
        <v>63</v>
      </c>
      <c r="B68" s="1" t="s">
        <v>4</v>
      </c>
      <c r="C68" s="1" t="s">
        <v>8</v>
      </c>
      <c r="D68" s="2">
        <v>36</v>
      </c>
      <c r="E68" s="4">
        <f>'ведомость нач.'!B422+'ведомость нач.'!B423+'ведомость нач.'!B426+'ведомость нач.'!B432</f>
        <v>27967.5</v>
      </c>
      <c r="F68" s="4">
        <f>'ведомость нач.'!C422+'ведомость нач.'!C423+'ведомость нач.'!C426+'ведомость нач.'!C432</f>
        <v>28832.95</v>
      </c>
      <c r="G68" s="4">
        <f>'ведомость нач.'!D434</f>
        <v>11149.33</v>
      </c>
      <c r="H68" s="19">
        <f t="shared" si="5"/>
        <v>-865.45000000000073</v>
      </c>
      <c r="I68" s="19">
        <f t="shared" si="6"/>
        <v>12014.78</v>
      </c>
      <c r="J68" s="17"/>
      <c r="K68" s="4"/>
      <c r="L68" s="17"/>
      <c r="M68" s="4"/>
      <c r="N68" s="4">
        <v>170.8</v>
      </c>
      <c r="O68" s="19">
        <f>N68*T9</f>
        <v>20593.726822330056</v>
      </c>
      <c r="P68" s="19">
        <f>N68*T5</f>
        <v>7740.0745341914198</v>
      </c>
      <c r="Q68" s="19">
        <f t="shared" si="0"/>
        <v>28333.801356521475</v>
      </c>
      <c r="R68" s="27">
        <f t="shared" si="4"/>
        <v>-11515.631356521477</v>
      </c>
      <c r="S68" s="50">
        <f t="shared" si="1"/>
        <v>-366.3013565214751</v>
      </c>
    </row>
    <row r="69" spans="1:19">
      <c r="A69" s="9">
        <v>64</v>
      </c>
      <c r="B69" s="1" t="s">
        <v>4</v>
      </c>
      <c r="C69" s="1" t="s">
        <v>10</v>
      </c>
      <c r="D69" s="2">
        <v>3</v>
      </c>
      <c r="E69" s="4">
        <f>'ведомость нач.'!B450+'ведомость нач.'!B456+'ведомость нач.'!B458</f>
        <v>27131.16</v>
      </c>
      <c r="F69" s="4">
        <f>'ведомость нач.'!C450+'ведомость нач.'!C456+'ведомость нач.'!C458</f>
        <v>28905.25</v>
      </c>
      <c r="G69" s="4">
        <f>'ведомость нач.'!D459</f>
        <v>17277.169999999998</v>
      </c>
      <c r="H69" s="19">
        <f t="shared" si="5"/>
        <v>-1774.0900000000001</v>
      </c>
      <c r="I69" s="19">
        <f t="shared" si="6"/>
        <v>19051.259999999998</v>
      </c>
      <c r="J69" s="17"/>
      <c r="K69" s="4"/>
      <c r="L69" s="17"/>
      <c r="M69" s="4"/>
      <c r="N69" s="4">
        <v>199.1</v>
      </c>
      <c r="O69" s="19">
        <f>N69*T9</f>
        <v>24005.919264203243</v>
      </c>
      <c r="P69" s="19">
        <f>N69*T5</f>
        <v>9022.5341906177491</v>
      </c>
      <c r="Q69" s="19">
        <f t="shared" si="0"/>
        <v>33028.453454820992</v>
      </c>
      <c r="R69" s="27">
        <f t="shared" si="4"/>
        <v>-23174.463454820991</v>
      </c>
      <c r="S69" s="50">
        <f t="shared" si="1"/>
        <v>-5897.2934548209923</v>
      </c>
    </row>
    <row r="70" spans="1:19">
      <c r="A70" s="9">
        <v>65</v>
      </c>
      <c r="B70" s="1" t="s">
        <v>4</v>
      </c>
      <c r="C70" s="1" t="s">
        <v>10</v>
      </c>
      <c r="D70" s="2">
        <v>4</v>
      </c>
      <c r="E70" s="4">
        <f>'ведомость нач.'!B461+'ведомость нач.'!B468+'ведомость нач.'!B469</f>
        <v>65334.299999999996</v>
      </c>
      <c r="F70" s="4">
        <f>'ведомость нач.'!C461+'ведомость нач.'!C468+'ведомость нач.'!C469</f>
        <v>70102.55</v>
      </c>
      <c r="G70" s="4">
        <f>'ведомость нач.'!D474</f>
        <v>31624.9</v>
      </c>
      <c r="H70" s="19">
        <f t="shared" si="5"/>
        <v>-4768.2500000000073</v>
      </c>
      <c r="I70" s="19">
        <f t="shared" si="6"/>
        <v>36393.150000000009</v>
      </c>
      <c r="J70" s="17"/>
      <c r="K70" s="4"/>
      <c r="L70" s="17"/>
      <c r="M70" s="4"/>
      <c r="N70" s="4">
        <v>373.4</v>
      </c>
      <c r="O70" s="19">
        <f>N70*T9</f>
        <v>45021.648685351531</v>
      </c>
      <c r="P70" s="19">
        <f>N70*T5</f>
        <v>16921.216809526202</v>
      </c>
      <c r="Q70" s="19">
        <f t="shared" ref="Q70" si="8">K70+M70+O70+P70</f>
        <v>61942.865494877733</v>
      </c>
      <c r="R70" s="27">
        <f t="shared" si="4"/>
        <v>-28233.465494877739</v>
      </c>
      <c r="S70" s="50">
        <f t="shared" ref="S70" si="9">E70-Q70</f>
        <v>3391.4345051222626</v>
      </c>
    </row>
    <row r="71" spans="1:19" ht="15.75">
      <c r="A71" s="75" t="s">
        <v>24</v>
      </c>
      <c r="B71" s="76"/>
      <c r="C71" s="76"/>
      <c r="D71" s="77"/>
      <c r="E71" s="28">
        <f>SUM(E5:E70)</f>
        <v>13727372.359999999</v>
      </c>
      <c r="F71" s="28">
        <f>SUM(F5:F70)</f>
        <v>12811156.970000001</v>
      </c>
      <c r="G71" s="28">
        <f>SUM(G5:G70)</f>
        <v>26986973.940000013</v>
      </c>
      <c r="H71" s="28">
        <f>SUM(H5:H70)</f>
        <v>916215.3899999999</v>
      </c>
      <c r="I71" s="28">
        <f>SUM(I5:I70)</f>
        <v>26070758.550000001</v>
      </c>
      <c r="J71" s="20"/>
      <c r="K71" s="28">
        <f>SUM(K5:K70)</f>
        <v>1466561.5699999996</v>
      </c>
      <c r="L71" s="20"/>
      <c r="M71" s="28">
        <f t="shared" ref="M71:S71" si="10">SUM(M5:M70)</f>
        <v>199606.79000000004</v>
      </c>
      <c r="N71" s="28">
        <f t="shared" si="10"/>
        <v>49805.330000000009</v>
      </c>
      <c r="O71" s="28">
        <f t="shared" si="10"/>
        <v>6447981.8564352402</v>
      </c>
      <c r="P71" s="28">
        <f t="shared" si="10"/>
        <v>2257007.9999999995</v>
      </c>
      <c r="Q71" s="28">
        <f t="shared" si="10"/>
        <v>10371158.216435237</v>
      </c>
      <c r="R71" s="28">
        <f t="shared" si="10"/>
        <v>-22961762.20492167</v>
      </c>
      <c r="S71" s="48">
        <f t="shared" si="10"/>
        <v>3356214.1435647625</v>
      </c>
    </row>
    <row r="73" spans="1:19">
      <c r="A73" s="22" t="s">
        <v>78</v>
      </c>
      <c r="C73" s="5">
        <v>4753931.8</v>
      </c>
    </row>
    <row r="74" spans="1:19">
      <c r="A74" s="22" t="s">
        <v>158</v>
      </c>
      <c r="C74" s="5">
        <f>22147050-C75</f>
        <v>9737108</v>
      </c>
    </row>
    <row r="75" spans="1:19">
      <c r="A75" s="22" t="s">
        <v>79</v>
      </c>
      <c r="C75" s="5">
        <v>12409942</v>
      </c>
      <c r="N75" s="5"/>
    </row>
    <row r="76" spans="1:19">
      <c r="A76" s="22" t="s">
        <v>80</v>
      </c>
      <c r="C76" s="5">
        <v>1034912.49</v>
      </c>
    </row>
    <row r="80" spans="1:19">
      <c r="N80" s="21"/>
    </row>
    <row r="81" spans="14:14">
      <c r="N81" s="21"/>
    </row>
    <row r="82" spans="14:14">
      <c r="N82" s="21"/>
    </row>
    <row r="83" spans="14:14">
      <c r="N83" s="21"/>
    </row>
    <row r="84" spans="14:14">
      <c r="N84" s="21"/>
    </row>
    <row r="85" spans="14:14">
      <c r="N85" s="21"/>
    </row>
    <row r="86" spans="14:14">
      <c r="N86" s="21"/>
    </row>
    <row r="87" spans="14:14">
      <c r="N87" s="21"/>
    </row>
    <row r="88" spans="14:14">
      <c r="N88" s="21"/>
    </row>
    <row r="89" spans="14:14">
      <c r="N89" s="21"/>
    </row>
    <row r="90" spans="14:14">
      <c r="N90" s="21"/>
    </row>
    <row r="91" spans="14:14">
      <c r="N91" s="21"/>
    </row>
    <row r="92" spans="14:14">
      <c r="N92" s="21"/>
    </row>
    <row r="93" spans="14:14">
      <c r="N93" s="21"/>
    </row>
    <row r="94" spans="14:14">
      <c r="N94" s="21"/>
    </row>
    <row r="95" spans="14:14">
      <c r="N95" s="21"/>
    </row>
    <row r="96" spans="14:14">
      <c r="N96" s="21"/>
    </row>
    <row r="97" spans="14:14">
      <c r="N97" s="21"/>
    </row>
    <row r="98" spans="14:14">
      <c r="N98" s="21"/>
    </row>
    <row r="99" spans="14:14">
      <c r="N99" s="21"/>
    </row>
    <row r="100" spans="14:14">
      <c r="N100" s="21"/>
    </row>
    <row r="101" spans="14:14">
      <c r="N101" s="21"/>
    </row>
    <row r="102" spans="14:14">
      <c r="N102" s="21"/>
    </row>
    <row r="103" spans="14:14">
      <c r="N103" s="21"/>
    </row>
    <row r="104" spans="14:14">
      <c r="N104" s="21"/>
    </row>
    <row r="105" spans="14:14">
      <c r="N105" s="21"/>
    </row>
    <row r="106" spans="14:14">
      <c r="N106" s="21"/>
    </row>
    <row r="107" spans="14:14">
      <c r="N107" s="21"/>
    </row>
    <row r="108" spans="14:14">
      <c r="N108" s="21"/>
    </row>
    <row r="109" spans="14:14">
      <c r="N109" s="21"/>
    </row>
    <row r="110" spans="14:14">
      <c r="N110" s="21"/>
    </row>
    <row r="111" spans="14:14">
      <c r="N111" s="21"/>
    </row>
    <row r="112" spans="14:14">
      <c r="N112" s="21"/>
    </row>
  </sheetData>
  <mergeCells count="19">
    <mergeCell ref="A59:D59"/>
    <mergeCell ref="Q3:Q4"/>
    <mergeCell ref="A71:D71"/>
    <mergeCell ref="S3:S4"/>
    <mergeCell ref="R3:R4"/>
    <mergeCell ref="A1:P1"/>
    <mergeCell ref="A2:P2"/>
    <mergeCell ref="A3:A4"/>
    <mergeCell ref="B3:D4"/>
    <mergeCell ref="E3:E4"/>
    <mergeCell ref="F3:F4"/>
    <mergeCell ref="G3:G4"/>
    <mergeCell ref="H3:H4"/>
    <mergeCell ref="I3:I4"/>
    <mergeCell ref="J3:K3"/>
    <mergeCell ref="L3:M3"/>
    <mergeCell ref="O3:O4"/>
    <mergeCell ref="N3:N4"/>
    <mergeCell ref="P3:P4"/>
  </mergeCells>
  <pageMargins left="0.25" right="0.25" top="0.75" bottom="0.75" header="0.3" footer="0.3"/>
  <pageSetup paperSize="9" scale="56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"/>
  <sheetViews>
    <sheetView topLeftCell="B1" workbookViewId="0">
      <selection activeCell="J13" sqref="J13"/>
    </sheetView>
  </sheetViews>
  <sheetFormatPr defaultRowHeight="15"/>
  <cols>
    <col min="1" max="1" width="4.28515625" customWidth="1"/>
    <col min="4" max="4" width="2.85546875" customWidth="1"/>
    <col min="5" max="5" width="15.42578125" customWidth="1"/>
    <col min="6" max="6" width="14.28515625" customWidth="1"/>
    <col min="7" max="7" width="15" customWidth="1"/>
    <col min="8" max="8" width="12.140625" customWidth="1"/>
    <col min="9" max="9" width="16.5703125" customWidth="1"/>
    <col min="10" max="10" width="14.42578125" customWidth="1"/>
    <col min="11" max="11" width="15.28515625" customWidth="1"/>
    <col min="12" max="12" width="14.85546875" customWidth="1"/>
    <col min="13" max="13" width="14.28515625" customWidth="1"/>
    <col min="14" max="14" width="16.5703125" customWidth="1"/>
    <col min="15" max="15" width="18" customWidth="1"/>
  </cols>
  <sheetData>
    <row r="1" spans="1:15" ht="33.75">
      <c r="A1" s="83" t="s">
        <v>192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21">
      <c r="A2" s="84" t="s">
        <v>193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ht="40.5" customHeight="1">
      <c r="A3" s="85"/>
      <c r="B3" s="86"/>
      <c r="C3" s="86"/>
      <c r="D3" s="87"/>
      <c r="E3" s="91" t="s">
        <v>81</v>
      </c>
      <c r="F3" s="91" t="s">
        <v>82</v>
      </c>
      <c r="G3" s="91" t="s">
        <v>194</v>
      </c>
      <c r="H3" s="91" t="s">
        <v>84</v>
      </c>
      <c r="I3" s="91" t="s">
        <v>195</v>
      </c>
      <c r="J3" s="91" t="s">
        <v>196</v>
      </c>
      <c r="K3" s="91" t="s">
        <v>74</v>
      </c>
      <c r="L3" s="91" t="s">
        <v>197</v>
      </c>
      <c r="M3" s="91" t="s">
        <v>25</v>
      </c>
      <c r="N3" s="91" t="s">
        <v>87</v>
      </c>
      <c r="O3" s="91" t="s">
        <v>200</v>
      </c>
    </row>
    <row r="4" spans="1:15" ht="64.5" customHeight="1">
      <c r="A4" s="88"/>
      <c r="B4" s="89"/>
      <c r="C4" s="89"/>
      <c r="D4" s="90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</row>
    <row r="5" spans="1:15" ht="15.75">
      <c r="A5" s="80" t="s">
        <v>198</v>
      </c>
      <c r="B5" s="81"/>
      <c r="C5" s="81"/>
      <c r="D5" s="82"/>
      <c r="E5" s="28">
        <f>'2016'!E71-свод!E6</f>
        <v>9435465.2599999998</v>
      </c>
      <c r="F5" s="28">
        <f>'2016'!F71-свод!F6</f>
        <v>8789421.870000001</v>
      </c>
      <c r="G5" s="28">
        <f>'2016'!G71-свод!G6</f>
        <v>20003345.990000013</v>
      </c>
      <c r="H5" s="28">
        <f>'2016'!H71-свод!H6</f>
        <v>646043.3899999999</v>
      </c>
      <c r="I5" s="28">
        <f>'2016'!I71-свод!I6</f>
        <v>19357302.600000001</v>
      </c>
      <c r="J5" s="28">
        <f>'2016'!K71-свод!J6</f>
        <v>855975.53999999957</v>
      </c>
      <c r="K5" s="51">
        <f>'2016'!M71-свод!K6</f>
        <v>198897.46000000005</v>
      </c>
      <c r="L5" s="28">
        <f>'2016'!O71-свод!L6</f>
        <v>4713216.0262759281</v>
      </c>
      <c r="M5" s="28">
        <f>'2016'!P71-свод!M6</f>
        <v>1667527.4581704405</v>
      </c>
      <c r="N5" s="28">
        <f>'2016'!Q71-свод!N6</f>
        <v>7435616.4844463654</v>
      </c>
      <c r="O5" s="28">
        <f>H5</f>
        <v>646043.3899999999</v>
      </c>
    </row>
    <row r="6" spans="1:15" ht="15.75">
      <c r="A6" s="80" t="s">
        <v>199</v>
      </c>
      <c r="B6" s="81"/>
      <c r="C6" s="81"/>
      <c r="D6" s="82"/>
      <c r="E6" s="28">
        <f>'2016'!E29+'2016'!E30+'2016'!E31+'2016'!E32+'2016'!E33+'2016'!E34+'2016'!E35+'2016'!E36+'2016'!E37+'2016'!E38+'2016'!E39+'2016'!E40</f>
        <v>4291907.0999999996</v>
      </c>
      <c r="F6" s="28">
        <f>'2016'!F29+'2016'!F30+'2016'!F31+'2016'!F32+'2016'!F33+'2016'!F34+'2016'!F35+'2016'!F36+'2016'!F37+'2016'!F38+'2016'!F39+'2016'!F40</f>
        <v>4021735.0999999996</v>
      </c>
      <c r="G6" s="28">
        <f>'2016'!G29+'2016'!G30+'2016'!G31+'2016'!G32+'2016'!G33+'2016'!G34+'2016'!G35+'2016'!G36+'2016'!G37+'2016'!G38+'2016'!G39+'2016'!G40</f>
        <v>6983627.9499999993</v>
      </c>
      <c r="H6" s="28">
        <f>'2016'!H29+'2016'!H30+'2016'!H31+'2016'!H32+'2016'!H33+'2016'!H34+'2016'!H35+'2016'!H36+'2016'!H37+'2016'!H38+'2016'!H39+'2016'!H40</f>
        <v>270171.99999999994</v>
      </c>
      <c r="I6" s="28">
        <f>'2016'!I29+'2016'!I30+'2016'!I31+'2016'!I32+'2016'!I33+'2016'!I34+'2016'!I35+'2016'!I36+'2016'!I37+'2016'!I38+'2016'!I39+'2016'!I40</f>
        <v>6713455.9500000002</v>
      </c>
      <c r="J6" s="28">
        <f>'2016'!K29+'2016'!K30+'2016'!K31+'2016'!K32+'2016'!K33+'2016'!K34+'2016'!K35+'2016'!K36+'2016'!K37+'2016'!K38+'2016'!K39</f>
        <v>610586.03</v>
      </c>
      <c r="K6" s="51">
        <f>'2016'!M29+'2016'!M30+'2016'!M31+'2016'!M32+'2016'!M33+'2016'!M34+'2016'!M35+'2016'!M36+'2016'!M37+'2016'!M38+'2016'!M39+'2016'!M40</f>
        <v>709.33</v>
      </c>
      <c r="L6" s="28">
        <f>'2016'!O29+'2016'!O30+'2016'!O31+'2016'!O32+'2016'!O33+'2016'!O34+'2016'!O35+'2016'!O36+'2016'!O37+'2016'!O38+'2016'!O39+'2016'!O40</f>
        <v>1734765.8301593119</v>
      </c>
      <c r="M6" s="28">
        <f>'2016'!P29+'2016'!P30+'2016'!P31+'2016'!P32+'2016'!P33+'2016'!P34+'2016'!P35+'2016'!P36+'2016'!P37+'2016'!P38+'2016'!P39+'2016'!P40</f>
        <v>589480.54182955902</v>
      </c>
      <c r="N6" s="28">
        <f>'2016'!Q29+'2016'!Q30+'2016'!Q31+'2016'!Q32+'2016'!Q33+'2016'!Q34+'2016'!Q35+'2016'!Q36+'2016'!Q37+'2016'!Q38+'2016'!Q39+'2016'!Q40</f>
        <v>2935541.731988871</v>
      </c>
      <c r="O6" s="28">
        <f>H6</f>
        <v>270171.99999999994</v>
      </c>
    </row>
    <row r="7" spans="1:15" ht="23.25">
      <c r="O7" s="52">
        <f>O5+O6</f>
        <v>916215.3899999999</v>
      </c>
    </row>
    <row r="13" spans="1:15">
      <c r="J13" t="s">
        <v>201</v>
      </c>
    </row>
  </sheetData>
  <mergeCells count="16">
    <mergeCell ref="A6:D6"/>
    <mergeCell ref="A1:O1"/>
    <mergeCell ref="A2:O2"/>
    <mergeCell ref="A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A5:D5"/>
  </mergeCells>
  <pageMargins left="0.25" right="0.25" top="0.75" bottom="0.75" header="0.3" footer="0.3"/>
  <pageSetup paperSize="9" scale="7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ведомость нач.</vt:lpstr>
      <vt:lpstr>2016</vt:lpstr>
      <vt:lpstr>свод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Aero</cp:lastModifiedBy>
  <cp:lastPrinted>2017-04-27T14:19:17Z</cp:lastPrinted>
  <dcterms:created xsi:type="dcterms:W3CDTF">2016-01-10T17:47:42Z</dcterms:created>
  <dcterms:modified xsi:type="dcterms:W3CDTF">2017-04-27T14:19:26Z</dcterms:modified>
</cp:coreProperties>
</file>